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9200" windowHeight="11325" tabRatio="951" activeTab="0"/>
  </bookViews>
  <sheets>
    <sheet name="WIE AUSFÜLLEN!" sheetId="1" r:id="rId1"/>
    <sheet name="Bemerkungen zum IV" sheetId="2" r:id="rId2"/>
    <sheet name="DECKBLATT" sheetId="3" r:id="rId3"/>
    <sheet name="Rindvieh" sheetId="4" r:id="rId4"/>
    <sheet name="Richtpreise" sheetId="5" state="hidden" r:id="rId5"/>
    <sheet name="Richtzahlen RV" sheetId="6" state="hidden" r:id="rId6"/>
    <sheet name="Detail Kühe" sheetId="7" r:id="rId7"/>
    <sheet name="Detail Aufzucht" sheetId="8" r:id="rId8"/>
    <sheet name="Detail Mast" sheetId="9" r:id="rId9"/>
    <sheet name="Anderes Vieh" sheetId="10" r:id="rId10"/>
    <sheet name="Pferde" sheetId="11" r:id="rId11"/>
    <sheet name="Debitoren" sheetId="12" r:id="rId12"/>
    <sheet name="Zusatzblatt Deb." sheetId="13" r:id="rId13"/>
    <sheet name="Wertschr._Kasse" sheetId="14" r:id="rId14"/>
    <sheet name="Kreditoren" sheetId="15" r:id="rId15"/>
    <sheet name="Zusatzblatt Kred." sheetId="16" r:id="rId16"/>
    <sheet name="Schuldenverz." sheetId="17" r:id="rId17"/>
    <sheet name="Selbstprod. V" sheetId="18" r:id="rId18"/>
    <sheet name="Zugek. V" sheetId="19" r:id="rId19"/>
    <sheet name="Naturallief." sheetId="20" r:id="rId20"/>
    <sheet name="Anbauplan" sheetId="21" r:id="rId21"/>
    <sheet name="Verpfl. und Arbeitskontrolle" sheetId="22" r:id="rId22"/>
    <sheet name="Allg. Angaben" sheetId="23" r:id="rId23"/>
  </sheets>
  <definedNames>
    <definedName name="_xlfn.BAHTTEXT" hidden="1">#NAME?</definedName>
    <definedName name="_xlnm.Print_Area" localSheetId="20">'Anbauplan'!$A$1:$N$55</definedName>
    <definedName name="_xlnm.Print_Area" localSheetId="9">'Anderes Vieh'!$A$1:$M$51</definedName>
    <definedName name="_xlnm.Print_Area" localSheetId="19">'Naturallief.'!$A$1:$J$50</definedName>
    <definedName name="_xlnm.Print_Area" localSheetId="10">'Pferde'!$A$1:$L$35</definedName>
    <definedName name="_xlnm.Print_Area" localSheetId="3">'Rindvieh'!$A$1:$I$44</definedName>
    <definedName name="_xlnm.Print_Area" localSheetId="16">'Schuldenverz.'!$A$1:$G$40</definedName>
    <definedName name="_xlnm.Print_Area" localSheetId="17">'Selbstprod. V'!$A$1:$M$47</definedName>
    <definedName name="_xlnm.Print_Area" localSheetId="21">'Verpfl. und Arbeitskontrolle'!$A$1:$J$44</definedName>
    <definedName name="_xlnm.Print_Area" localSheetId="13">'Wertschr._Kasse'!$A$1:$G$40</definedName>
    <definedName name="_xlnm.Print_Area" localSheetId="0">'WIE AUSFÜLLEN!'!$A$1:$B$66</definedName>
    <definedName name="Z_B919D2EB_D122_4E25_8E52_25BE88B69D9E_.wvu.Cols" localSheetId="7" hidden="1">'Detail Aufzucht'!$F:$F,'Detail Aufzucht'!$M:$M</definedName>
    <definedName name="Z_B919D2EB_D122_4E25_8E52_25BE88B69D9E_.wvu.Cols" localSheetId="8" hidden="1">'Detail Mast'!#REF!,'Detail Mast'!#REF!</definedName>
    <definedName name="Z_B919D2EB_D122_4E25_8E52_25BE88B69D9E_.wvu.PrintArea" localSheetId="20" hidden="1">'Anbauplan'!$A$1:$N$55</definedName>
    <definedName name="Z_B919D2EB_D122_4E25_8E52_25BE88B69D9E_.wvu.PrintArea" localSheetId="9" hidden="1">'Anderes Vieh'!$A$1:$M$51</definedName>
    <definedName name="Z_B919D2EB_D122_4E25_8E52_25BE88B69D9E_.wvu.PrintArea" localSheetId="19" hidden="1">'Naturallief.'!$A$1:$J$50</definedName>
    <definedName name="Z_B919D2EB_D122_4E25_8E52_25BE88B69D9E_.wvu.PrintArea" localSheetId="10" hidden="1">'Pferde'!$A$1:$L$29</definedName>
    <definedName name="Z_B919D2EB_D122_4E25_8E52_25BE88B69D9E_.wvu.PrintArea" localSheetId="3" hidden="1">'Rindvieh'!$A$1:$I$44</definedName>
    <definedName name="Z_B919D2EB_D122_4E25_8E52_25BE88B69D9E_.wvu.PrintArea" localSheetId="16" hidden="1">'Schuldenverz.'!$A$1:$G$40</definedName>
    <definedName name="Z_B919D2EB_D122_4E25_8E52_25BE88B69D9E_.wvu.PrintArea" localSheetId="17" hidden="1">'Selbstprod. V'!$A$1:$M$47</definedName>
    <definedName name="Z_B919D2EB_D122_4E25_8E52_25BE88B69D9E_.wvu.PrintArea" localSheetId="21" hidden="1">'Verpfl. und Arbeitskontrolle'!$A$1:$J$44</definedName>
    <definedName name="Z_B919D2EB_D122_4E25_8E52_25BE88B69D9E_.wvu.PrintArea" localSheetId="13" hidden="1">'Wertschr._Kasse'!$A$1:$G$40</definedName>
    <definedName name="Z_B919D2EB_D122_4E25_8E52_25BE88B69D9E_.wvu.PrintArea" localSheetId="0" hidden="1">'WIE AUSFÜLLEN!'!$A$1:$B$66</definedName>
  </definedNames>
  <calcPr fullCalcOnLoad="1"/>
</workbook>
</file>

<file path=xl/comments21.xml><?xml version="1.0" encoding="utf-8"?>
<comments xmlns="http://schemas.openxmlformats.org/spreadsheetml/2006/main">
  <authors>
    <author>Andrea L?tzelschwab</author>
  </authors>
  <commentList>
    <comment ref="L53" authorId="0">
      <text>
        <r>
          <rPr>
            <b/>
            <sz val="9"/>
            <rFont val="Tahoma"/>
            <family val="2"/>
          </rPr>
          <t>Pacht</t>
        </r>
      </text>
    </comment>
    <comment ref="L54" authorId="0">
      <text>
        <r>
          <rPr>
            <b/>
            <sz val="9"/>
            <rFont val="Tahoma"/>
            <family val="2"/>
          </rPr>
          <t>Eigentum</t>
        </r>
      </text>
    </comment>
  </commentList>
</comments>
</file>

<file path=xl/sharedStrings.xml><?xml version="1.0" encoding="utf-8"?>
<sst xmlns="http://schemas.openxmlformats.org/spreadsheetml/2006/main" count="995" uniqueCount="545">
  <si>
    <t>Ware / Produkt</t>
  </si>
  <si>
    <t>Menge</t>
  </si>
  <si>
    <t>Preis</t>
  </si>
  <si>
    <t>Wert</t>
  </si>
  <si>
    <t>Getreidebau:</t>
  </si>
  <si>
    <t>dt</t>
  </si>
  <si>
    <t>¨</t>
  </si>
  <si>
    <t>Rindvieh Zucht und Nutzung</t>
  </si>
  <si>
    <t>Stück am</t>
  </si>
  <si>
    <t>Stichtag</t>
  </si>
  <si>
    <t>Total</t>
  </si>
  <si>
    <t>Total Rindvieh Zucht und Nutzung</t>
  </si>
  <si>
    <t>Grossviehmast</t>
  </si>
  <si>
    <t>Total Grossviehmast</t>
  </si>
  <si>
    <t>Stück am Stichtag</t>
  </si>
  <si>
    <t>Total Kälbermast</t>
  </si>
  <si>
    <t>Fr.</t>
  </si>
  <si>
    <t>1100 / 4311</t>
  </si>
  <si>
    <t xml:space="preserve">Milchkühe </t>
  </si>
  <si>
    <t xml:space="preserve">Mutterkühe </t>
  </si>
  <si>
    <t>1101 / 4311</t>
  </si>
  <si>
    <t>Rinder über 2-jährig</t>
  </si>
  <si>
    <t xml:space="preserve">Rinder 1- bis 2-jährig </t>
  </si>
  <si>
    <t>1110 / 4311</t>
  </si>
  <si>
    <t>kg</t>
  </si>
  <si>
    <t>Wert pro Stück in Franken</t>
  </si>
  <si>
    <t xml:space="preserve">Wert Total                  </t>
  </si>
  <si>
    <t xml:space="preserve">Mastkälber </t>
  </si>
  <si>
    <t>Milch- / Mutterkühe</t>
  </si>
  <si>
    <t>Name ev. Nr. der Tiere</t>
  </si>
  <si>
    <t>in Franken</t>
  </si>
  <si>
    <t>Übertrag</t>
  </si>
  <si>
    <t>Geboren</t>
  </si>
  <si>
    <t>Tag</t>
  </si>
  <si>
    <t>Monat</t>
  </si>
  <si>
    <t>Name, Nr. Box, Gruppe</t>
  </si>
  <si>
    <t>Stück per Stichtag</t>
  </si>
  <si>
    <t xml:space="preserve">Total </t>
  </si>
  <si>
    <t xml:space="preserve">Total  </t>
  </si>
  <si>
    <t>Schweinehaltung</t>
  </si>
  <si>
    <t>Ankauf in Stück</t>
  </si>
  <si>
    <t>Verkauf in Stück</t>
  </si>
  <si>
    <t>Fr./Stk.</t>
  </si>
  <si>
    <t>Pferdehaltung</t>
  </si>
  <si>
    <t>Wert pro Stück</t>
  </si>
  <si>
    <t>1140 / 4409</t>
  </si>
  <si>
    <t>Geflügel</t>
  </si>
  <si>
    <t>Übrige Tiere</t>
  </si>
  <si>
    <t>Schafe</t>
  </si>
  <si>
    <t>Lämmer</t>
  </si>
  <si>
    <t>Ziegen</t>
  </si>
  <si>
    <t>Bestand am Stichtag in Stück</t>
  </si>
  <si>
    <t>1120 / 4411</t>
  </si>
  <si>
    <t xml:space="preserve">Eber </t>
  </si>
  <si>
    <t xml:space="preserve">Mutterschweine </t>
  </si>
  <si>
    <t xml:space="preserve">Erstlen </t>
  </si>
  <si>
    <t xml:space="preserve">Zuchtjager </t>
  </si>
  <si>
    <t xml:space="preserve">Ferkel  1 Woche </t>
  </si>
  <si>
    <t xml:space="preserve">Ferkel  2 Wochen </t>
  </si>
  <si>
    <t xml:space="preserve">Ferkel  3 Wochen </t>
  </si>
  <si>
    <t xml:space="preserve">Ferkel  4 Wochen </t>
  </si>
  <si>
    <t xml:space="preserve">Ferkel  5 Wochen </t>
  </si>
  <si>
    <t xml:space="preserve">Ferkel  6 Wochen </t>
  </si>
  <si>
    <t xml:space="preserve">Ferkel  7 Wochen </t>
  </si>
  <si>
    <t xml:space="preserve">Jager  à  18 kg </t>
  </si>
  <si>
    <t xml:space="preserve">Jager  à  20 kg </t>
  </si>
  <si>
    <t xml:space="preserve">Jager  à  25 kg </t>
  </si>
  <si>
    <t xml:space="preserve">Jager  à  30 kg </t>
  </si>
  <si>
    <t xml:space="preserve">Jager  à  35 kg </t>
  </si>
  <si>
    <t xml:space="preserve">Jager  à  40 kg </t>
  </si>
  <si>
    <r>
      <t xml:space="preserve">Mastschweine </t>
    </r>
    <r>
      <rPr>
        <sz val="8"/>
        <rFont val="Arial"/>
        <family val="2"/>
      </rPr>
      <t xml:space="preserve">à 50 kg </t>
    </r>
  </si>
  <si>
    <r>
      <t xml:space="preserve">Mastschweine </t>
    </r>
    <r>
      <rPr>
        <sz val="8"/>
        <rFont val="Arial"/>
        <family val="2"/>
      </rPr>
      <t xml:space="preserve">à 60 kg </t>
    </r>
  </si>
  <si>
    <r>
      <t xml:space="preserve">Mastschweine </t>
    </r>
    <r>
      <rPr>
        <sz val="8"/>
        <rFont val="Arial"/>
        <family val="2"/>
      </rPr>
      <t xml:space="preserve">à 70 kg </t>
    </r>
  </si>
  <si>
    <r>
      <t xml:space="preserve">Mastschweine </t>
    </r>
    <r>
      <rPr>
        <sz val="8"/>
        <rFont val="Arial"/>
        <family val="2"/>
      </rPr>
      <t xml:space="preserve">à 80 kg </t>
    </r>
  </si>
  <si>
    <r>
      <t xml:space="preserve">Mastschweine </t>
    </r>
    <r>
      <rPr>
        <sz val="8"/>
        <rFont val="Arial"/>
        <family val="2"/>
      </rPr>
      <t xml:space="preserve">à 90 kg </t>
    </r>
  </si>
  <si>
    <r>
      <t xml:space="preserve">Mastschweine </t>
    </r>
    <r>
      <rPr>
        <sz val="8"/>
        <rFont val="Arial"/>
        <family val="2"/>
      </rPr>
      <t xml:space="preserve">à 100 kg </t>
    </r>
  </si>
  <si>
    <t>Stück am Anfang</t>
  </si>
  <si>
    <t>Gewicht Total</t>
  </si>
  <si>
    <t>Total in Franken</t>
  </si>
  <si>
    <t>Wert pro                           Stück / kg</t>
  </si>
  <si>
    <t>Stk.</t>
  </si>
  <si>
    <t>1130 / 4444</t>
  </si>
  <si>
    <t xml:space="preserve">Legehennen </t>
  </si>
  <si>
    <t>Betrag in Franken</t>
  </si>
  <si>
    <t>Konto Nr.</t>
  </si>
  <si>
    <t>Total / Übertrag</t>
  </si>
  <si>
    <r>
      <t xml:space="preserve">Genaue Bezeichnung </t>
    </r>
    <r>
      <rPr>
        <b/>
        <sz val="9"/>
        <rFont val="Arial"/>
        <family val="2"/>
      </rPr>
      <t>(z. B. Milchgeld Dez.)</t>
    </r>
  </si>
  <si>
    <t>Name u. Wohnort des Schuldners</t>
  </si>
  <si>
    <t>Art des Kontos / Wertschrift und Bank</t>
  </si>
  <si>
    <t>Bruttozins für akt. Buchhaltungsjahr</t>
  </si>
  <si>
    <t>Verrechnungs-steuerabzug</t>
  </si>
  <si>
    <t>Guthaben (Saldo) per Stichtag</t>
  </si>
  <si>
    <t xml:space="preserve">Angaben über die in der Buchhaltung bzw. Steuererklärung aufgeführten Sparhefte, Privatkonti, </t>
  </si>
  <si>
    <t>Name u. Wohnort des Gläubigers</t>
  </si>
  <si>
    <r>
      <t xml:space="preserve">Genaue Bezeichnung </t>
    </r>
    <r>
      <rPr>
        <b/>
        <sz val="9"/>
        <rFont val="Arial"/>
        <family val="2"/>
      </rPr>
      <t>(z. B. Telefon Dez.)</t>
    </r>
  </si>
  <si>
    <t>Darlehensgeber (Gläubiger)</t>
  </si>
  <si>
    <t>Bestand am Anfang</t>
  </si>
  <si>
    <t>Neue Schulden</t>
  </si>
  <si>
    <t>Amortisation / Abzahlung</t>
  </si>
  <si>
    <t>Bestand in Fr. am Stichtag</t>
  </si>
  <si>
    <t>Zins- satz</t>
  </si>
  <si>
    <r>
      <t>m</t>
    </r>
    <r>
      <rPr>
        <vertAlign val="superscript"/>
        <sz val="8"/>
        <rFont val="Arial"/>
        <family val="2"/>
      </rPr>
      <t>3</t>
    </r>
  </si>
  <si>
    <t>Stroh lose</t>
  </si>
  <si>
    <t>ÜBERTRAG</t>
  </si>
  <si>
    <t>Hackfruchtbau:</t>
  </si>
  <si>
    <t>Gemüse *):</t>
  </si>
  <si>
    <t>l</t>
  </si>
  <si>
    <t>Ster</t>
  </si>
  <si>
    <t>Weinbau *):</t>
  </si>
  <si>
    <t>Waldbau:</t>
  </si>
  <si>
    <t>Andere Erzeugnisse:</t>
  </si>
  <si>
    <t xml:space="preserve">Brotweizen </t>
  </si>
  <si>
    <t>Roggen</t>
  </si>
  <si>
    <t xml:space="preserve">Korn / Dinkel </t>
  </si>
  <si>
    <t xml:space="preserve">Gerste </t>
  </si>
  <si>
    <t xml:space="preserve">Hafer </t>
  </si>
  <si>
    <t>Triticale</t>
  </si>
  <si>
    <t xml:space="preserve">Körnermais </t>
  </si>
  <si>
    <t>Stroh in Quaderballen</t>
  </si>
  <si>
    <t xml:space="preserve">Eiweisserbsen </t>
  </si>
  <si>
    <t>Stroh in Kleinballen</t>
  </si>
  <si>
    <t xml:space="preserve">Stroh in Rundballen </t>
  </si>
  <si>
    <t xml:space="preserve">Heu u. Emd unbel. </t>
  </si>
  <si>
    <t xml:space="preserve">Heu u. Emd belüftet </t>
  </si>
  <si>
    <t xml:space="preserve">Heu u. Emd Kleinballen </t>
  </si>
  <si>
    <t xml:space="preserve">Heu u. Emd Rundballen </t>
  </si>
  <si>
    <t xml:space="preserve">Heu u. Emd Quaderb. </t>
  </si>
  <si>
    <t xml:space="preserve">Trockengras </t>
  </si>
  <si>
    <t xml:space="preserve">Gras siliert </t>
  </si>
  <si>
    <t xml:space="preserve">Grassiloballen </t>
  </si>
  <si>
    <t>Mais siliert</t>
  </si>
  <si>
    <t xml:space="preserve">Maissiloballen </t>
  </si>
  <si>
    <t xml:space="preserve">Mais ganz Pfl. getr. </t>
  </si>
  <si>
    <t xml:space="preserve">Futterrüben </t>
  </si>
  <si>
    <t xml:space="preserve">Total Vorräte für Eigenbedarf </t>
  </si>
  <si>
    <t>Speisekartoffeln</t>
  </si>
  <si>
    <t xml:space="preserve">Saatkartoffeln selbstpr. </t>
  </si>
  <si>
    <t>Futterkartoffeln</t>
  </si>
  <si>
    <t xml:space="preserve">Äpfel </t>
  </si>
  <si>
    <t xml:space="preserve">Birnen </t>
  </si>
  <si>
    <t>Most</t>
  </si>
  <si>
    <t xml:space="preserve">Branntwein </t>
  </si>
  <si>
    <t xml:space="preserve">Obstbaumholz </t>
  </si>
  <si>
    <t xml:space="preserve">Bauholz </t>
  </si>
  <si>
    <t xml:space="preserve">Hackholz </t>
  </si>
  <si>
    <t>Ammonsalpeter</t>
  </si>
  <si>
    <t>Kali</t>
  </si>
  <si>
    <t>Thomaskali</t>
  </si>
  <si>
    <t>Colzador</t>
  </si>
  <si>
    <t>Div. Dünger</t>
  </si>
  <si>
    <t>Dünger:</t>
  </si>
  <si>
    <t>Saatgut:</t>
  </si>
  <si>
    <t>Saatkartoffeln</t>
  </si>
  <si>
    <t>Div. Saatgut</t>
  </si>
  <si>
    <t>Pflanzenschutz / Schädlingsbekämpfung:</t>
  </si>
  <si>
    <t>Übriges Kraftfutter:</t>
  </si>
  <si>
    <t>Kraftfutter für Schweine:</t>
  </si>
  <si>
    <t>Andere Vorräte:</t>
  </si>
  <si>
    <t>Kraftfutter für Rindvieh:</t>
  </si>
  <si>
    <t>Div. Pflanzenschutz</t>
  </si>
  <si>
    <t>Dieselöl</t>
  </si>
  <si>
    <t>Benzin</t>
  </si>
  <si>
    <t>Oele</t>
  </si>
  <si>
    <t>Fette</t>
  </si>
  <si>
    <t>Heizöl</t>
  </si>
  <si>
    <t>Naturallieferungen</t>
  </si>
  <si>
    <t>Betriebshaushalt</t>
  </si>
  <si>
    <t>Wert in Fr.</t>
  </si>
  <si>
    <t>Obstprodukte:</t>
  </si>
  <si>
    <t>Übriges:</t>
  </si>
  <si>
    <r>
      <t>Stk</t>
    </r>
    <r>
      <rPr>
        <sz val="8"/>
        <rFont val="Arial"/>
        <family val="2"/>
      </rPr>
      <t>.</t>
    </r>
  </si>
  <si>
    <t>Nur wenn in der Buchhaltung als Betriebszweig aufgeführt:</t>
  </si>
  <si>
    <t xml:space="preserve">Honig </t>
  </si>
  <si>
    <t xml:space="preserve">Mietwert der Wohnung (gemäss Steuerveranlagung): </t>
  </si>
  <si>
    <t xml:space="preserve">Weizen </t>
  </si>
  <si>
    <t xml:space="preserve">Kartoffeln </t>
  </si>
  <si>
    <t xml:space="preserve">Äpfel / Birnen </t>
  </si>
  <si>
    <t xml:space="preserve">Kirschen </t>
  </si>
  <si>
    <t xml:space="preserve">Zwetschgen </t>
  </si>
  <si>
    <t xml:space="preserve">Süssmost / Gärmost </t>
  </si>
  <si>
    <t xml:space="preserve">Obstprodukte (pauschal) </t>
  </si>
  <si>
    <t xml:space="preserve">Holz aus eigenem Wald </t>
  </si>
  <si>
    <t xml:space="preserve">Milch </t>
  </si>
  <si>
    <t xml:space="preserve">Geflügel  </t>
  </si>
  <si>
    <t xml:space="preserve">Eier </t>
  </si>
  <si>
    <t>2271 / 5010</t>
  </si>
  <si>
    <t xml:space="preserve">Wein </t>
  </si>
  <si>
    <t>Kst</t>
  </si>
  <si>
    <t>Kultur</t>
  </si>
  <si>
    <t>Fläche in Aren</t>
  </si>
  <si>
    <t>Bemerkung zu den Kulturen</t>
  </si>
  <si>
    <t>Total offenes Ackerland</t>
  </si>
  <si>
    <t>Total Ackerland</t>
  </si>
  <si>
    <t>Total Kulturfläche</t>
  </si>
  <si>
    <t>Total Betriebsfläche</t>
  </si>
  <si>
    <t>Total Eigentum</t>
  </si>
  <si>
    <r>
      <t>Futterweizen</t>
    </r>
    <r>
      <rPr>
        <sz val="7"/>
        <rFont val="Arial"/>
        <family val="2"/>
      </rPr>
      <t xml:space="preserve"> </t>
    </r>
  </si>
  <si>
    <t>Ertrag pro Are</t>
  </si>
  <si>
    <r>
      <t>Gerste</t>
    </r>
    <r>
      <rPr>
        <sz val="7"/>
        <rFont val="Arial"/>
        <family val="2"/>
      </rPr>
      <t xml:space="preserve"> </t>
    </r>
  </si>
  <si>
    <r>
      <t xml:space="preserve">Hafer </t>
    </r>
  </si>
  <si>
    <r>
      <t xml:space="preserve">Triticale </t>
    </r>
  </si>
  <si>
    <r>
      <t>Körnermais</t>
    </r>
    <r>
      <rPr>
        <sz val="7"/>
        <rFont val="Arial"/>
        <family val="2"/>
      </rPr>
      <t xml:space="preserve"> </t>
    </r>
  </si>
  <si>
    <r>
      <t xml:space="preserve">Eiweisserbsen </t>
    </r>
  </si>
  <si>
    <r>
      <t>Konservenerbsen</t>
    </r>
    <r>
      <rPr>
        <sz val="7"/>
        <rFont val="Arial"/>
        <family val="2"/>
      </rPr>
      <t xml:space="preserve"> </t>
    </r>
  </si>
  <si>
    <t xml:space="preserve">Roggen </t>
  </si>
  <si>
    <t xml:space="preserve">Korn </t>
  </si>
  <si>
    <t xml:space="preserve">Zuckerrüben </t>
  </si>
  <si>
    <r>
      <t>Raps</t>
    </r>
    <r>
      <rPr>
        <sz val="7"/>
        <rFont val="Arial"/>
        <family val="2"/>
      </rPr>
      <t xml:space="preserve"> </t>
    </r>
  </si>
  <si>
    <t>Soja</t>
  </si>
  <si>
    <t xml:space="preserve">Ackerbohnen </t>
  </si>
  <si>
    <t>Bohnen</t>
  </si>
  <si>
    <t>Gemüse</t>
  </si>
  <si>
    <t>Blumen</t>
  </si>
  <si>
    <r>
      <t>Silomais</t>
    </r>
    <r>
      <rPr>
        <sz val="7"/>
        <rFont val="Arial"/>
        <family val="2"/>
      </rPr>
      <t xml:space="preserve"> </t>
    </r>
  </si>
  <si>
    <t>Futterrüben</t>
  </si>
  <si>
    <t xml:space="preserve">Sonnenblumen </t>
  </si>
  <si>
    <t xml:space="preserve">Buntbrache </t>
  </si>
  <si>
    <t xml:space="preserve">Rotationsbrache </t>
  </si>
  <si>
    <t xml:space="preserve">Kunstwiese </t>
  </si>
  <si>
    <t>Naturwiese</t>
  </si>
  <si>
    <t xml:space="preserve">ext. Wiese </t>
  </si>
  <si>
    <t xml:space="preserve">Dauerweiden </t>
  </si>
  <si>
    <t xml:space="preserve">Reben </t>
  </si>
  <si>
    <t>Obstanlagen</t>
  </si>
  <si>
    <t>Beeren</t>
  </si>
  <si>
    <t xml:space="preserve">Streue, Hecken, Feldgehölze </t>
  </si>
  <si>
    <t>Wald</t>
  </si>
  <si>
    <t xml:space="preserve">Hofraum und Wege (Unproduktiv) </t>
  </si>
  <si>
    <t xml:space="preserve">Verpachtetes Land </t>
  </si>
  <si>
    <t>Davon Pachtland</t>
  </si>
  <si>
    <t xml:space="preserve">an Rindvieh verfüttert      </t>
  </si>
  <si>
    <t>%</t>
  </si>
  <si>
    <t>an Schweine verfüttert</t>
  </si>
  <si>
    <t>Verpflegungstage</t>
  </si>
  <si>
    <t>Geburtsdatum</t>
  </si>
  <si>
    <t>Faktor</t>
  </si>
  <si>
    <t>Arbeitstage</t>
  </si>
  <si>
    <t>AK</t>
  </si>
  <si>
    <t>Betrieb</t>
  </si>
  <si>
    <t>Nebenerwerb</t>
  </si>
  <si>
    <t xml:space="preserve">Meister </t>
  </si>
  <si>
    <t xml:space="preserve">Meisterin </t>
  </si>
  <si>
    <t xml:space="preserve">Kinder: </t>
  </si>
  <si>
    <t>Übrige Familienangehörige:</t>
  </si>
  <si>
    <t xml:space="preserve">Besuche: </t>
  </si>
  <si>
    <t>Ferienkinder:</t>
  </si>
  <si>
    <t>Total Privat</t>
  </si>
  <si>
    <t>Aushilfen:</t>
  </si>
  <si>
    <t>Total Betrieb</t>
  </si>
  <si>
    <t>Total Privat und Betrieb</t>
  </si>
  <si>
    <t>Verpfle-  gungstage im Jahr</t>
  </si>
  <si>
    <t>Total Verpfle- gungstage im Jahr</t>
  </si>
  <si>
    <t>Bemerkungen zu den Unterlagen:</t>
  </si>
  <si>
    <r>
      <t xml:space="preserve">Inventarveränderungen </t>
    </r>
    <r>
      <rPr>
        <sz val="9"/>
        <rFont val="Arial"/>
        <family val="2"/>
      </rPr>
      <t>(welche Positionen sollen aus dem Inventar gestrichen werden):</t>
    </r>
  </si>
  <si>
    <t>Kto. Nr. / Positions- Nr.:</t>
  </si>
  <si>
    <t>Abgang:</t>
  </si>
  <si>
    <t>Grund:</t>
  </si>
  <si>
    <t>Bsp.  1510005</t>
  </si>
  <si>
    <t>VW Passat</t>
  </si>
  <si>
    <t>Abbruch</t>
  </si>
  <si>
    <t>Datum der Veränderung:</t>
  </si>
  <si>
    <t>Zugang:</t>
  </si>
  <si>
    <r>
      <t xml:space="preserve">Angaben über Neubau / Umbau / Anlagen </t>
    </r>
    <r>
      <rPr>
        <sz val="8"/>
        <rFont val="Arial"/>
        <family val="2"/>
      </rPr>
      <t>(Wenn auf Ihrem Betrieb Neu- oder Umbauten gemacht werden, bitte ausfüllen):</t>
    </r>
  </si>
  <si>
    <t>Art des Bauprojektes:</t>
  </si>
  <si>
    <t>Voraussichtliche Baudauer:</t>
  </si>
  <si>
    <t>Ungefähre Baukosten:</t>
  </si>
  <si>
    <t>Bsp.  Neubau Güllengrube</t>
  </si>
  <si>
    <t>Wer führt das Kassenbuch ?</t>
  </si>
  <si>
    <t>Wer füllt die Inventarformulare aus ?</t>
  </si>
  <si>
    <t>Wer verbucht (PC-Programme) ?</t>
  </si>
  <si>
    <t>ANGABEN ÜBER NATURALLIEFERUNGEN</t>
  </si>
  <si>
    <t>I N V E N T A R</t>
  </si>
  <si>
    <t>per</t>
  </si>
  <si>
    <t>Adresse</t>
  </si>
  <si>
    <t>PLZ/Ort</t>
  </si>
  <si>
    <t>Bemerkungen</t>
  </si>
  <si>
    <t>Jager à  16 kg</t>
  </si>
  <si>
    <r>
      <t xml:space="preserve">Mastschweine </t>
    </r>
    <r>
      <rPr>
        <sz val="8"/>
        <rFont val="Arial"/>
        <family val="2"/>
      </rPr>
      <t xml:space="preserve">à 110 kg </t>
    </r>
  </si>
  <si>
    <r>
      <t xml:space="preserve">Mastschweine </t>
    </r>
    <r>
      <rPr>
        <sz val="8"/>
        <rFont val="Arial"/>
        <family val="2"/>
      </rPr>
      <t xml:space="preserve">à 120 kg </t>
    </r>
  </si>
  <si>
    <t>Name/Vorname</t>
  </si>
  <si>
    <t>freiwillige Angaben</t>
  </si>
  <si>
    <t>W/kg</t>
  </si>
  <si>
    <t>1 W</t>
  </si>
  <si>
    <t>2 W</t>
  </si>
  <si>
    <t>3 W</t>
  </si>
  <si>
    <t>4 W</t>
  </si>
  <si>
    <t>5 W</t>
  </si>
  <si>
    <t>6 W</t>
  </si>
  <si>
    <t>7 W</t>
  </si>
  <si>
    <r>
      <t>Mastvieh über 300 kg LG</t>
    </r>
    <r>
      <rPr>
        <sz val="9"/>
        <color indexed="10"/>
        <rFont val="Arial"/>
        <family val="2"/>
      </rPr>
      <t xml:space="preserve"> </t>
    </r>
    <r>
      <rPr>
        <sz val="8"/>
        <color indexed="10"/>
        <rFont val="Arial"/>
        <family val="2"/>
      </rPr>
      <t>(Ø 400 kg)</t>
    </r>
  </si>
  <si>
    <r>
      <t>Kälber für Grossviehmast bis 150 kg LG</t>
    </r>
    <r>
      <rPr>
        <sz val="8"/>
        <rFont val="Arial"/>
        <family val="2"/>
      </rPr>
      <t xml:space="preserve"> </t>
    </r>
    <r>
      <rPr>
        <sz val="8"/>
        <color indexed="10"/>
        <rFont val="Arial"/>
        <family val="2"/>
      </rPr>
      <t>(Ø 100 kg)</t>
    </r>
  </si>
  <si>
    <t>Nr.</t>
  </si>
  <si>
    <t>Muni</t>
  </si>
  <si>
    <t>kg/
Stk.</t>
  </si>
  <si>
    <t>* Pferde</t>
  </si>
  <si>
    <t>Fohlen bis 1-jährig</t>
  </si>
  <si>
    <t>Junge Pferde, 2-jährig</t>
  </si>
  <si>
    <t>Pferde, 3- und mehrjährig</t>
  </si>
  <si>
    <r>
      <t xml:space="preserve">Name  </t>
    </r>
    <r>
      <rPr>
        <sz val="9"/>
        <color indexed="10"/>
        <rFont val="Arial"/>
        <family val="2"/>
      </rPr>
      <t xml:space="preserve"> </t>
    </r>
    <r>
      <rPr>
        <i/>
        <sz val="8"/>
        <color indexed="10"/>
        <rFont val="Arial"/>
        <family val="2"/>
      </rPr>
      <t>* Bewertung siehe Tabelle rechts</t>
    </r>
  </si>
  <si>
    <t>* Geflügel</t>
  </si>
  <si>
    <t>Maultiere</t>
  </si>
  <si>
    <t>Esel</t>
  </si>
  <si>
    <t>siehe Tabelle unten</t>
  </si>
  <si>
    <t>Legehennen bis 50 Stk.</t>
  </si>
  <si>
    <t>Mastpoulets</t>
  </si>
  <si>
    <t>Legehennen über 500 Stk.: Vorsichtige Schätzung des Marktwertes</t>
  </si>
  <si>
    <t>Eintagsküken Fr./Stk.</t>
  </si>
  <si>
    <r>
      <t xml:space="preserve">* </t>
    </r>
    <r>
      <rPr>
        <i/>
        <sz val="9"/>
        <color indexed="10"/>
        <rFont val="Arial"/>
        <family val="2"/>
      </rPr>
      <t>Bewertung siehe Tabelle unten</t>
    </r>
  </si>
  <si>
    <t xml:space="preserve">Stück Stichtag </t>
  </si>
  <si>
    <t>Bewertungshilfe</t>
  </si>
  <si>
    <t>Bewertungshilfe Mastpoulets</t>
  </si>
  <si>
    <t xml:space="preserve">à Fr. </t>
  </si>
  <si>
    <t>Wochen</t>
  </si>
  <si>
    <t>à Fr.</t>
  </si>
  <si>
    <t>dazu Fr./Stk. und Woche +</t>
  </si>
  <si>
    <t>*</t>
  </si>
  <si>
    <t xml:space="preserve">Mastpoulets </t>
  </si>
  <si>
    <t>Truten/Strausse</t>
  </si>
  <si>
    <t>Masttruten/Strausse</t>
  </si>
  <si>
    <t>Vorsichtige Schätzung des Marktwertes</t>
  </si>
  <si>
    <t xml:space="preserve">* </t>
  </si>
  <si>
    <t>Anz.</t>
  </si>
  <si>
    <t>Jg.</t>
  </si>
  <si>
    <t>* Übrige Tiere</t>
  </si>
  <si>
    <t>Dammhirsche bis 2 Jahre</t>
  </si>
  <si>
    <t>Dammhirsche über 2 Jahre</t>
  </si>
  <si>
    <t>Rothirsche bis 2 Jahre</t>
  </si>
  <si>
    <t>Rothirsche über 2 Jahre</t>
  </si>
  <si>
    <t>Lamas/Alpakas bis 2 Jahre</t>
  </si>
  <si>
    <t>Lamas/Alpakas über 2 Jahre</t>
  </si>
  <si>
    <t xml:space="preserve">Kälber </t>
  </si>
  <si>
    <t>Rinder</t>
  </si>
  <si>
    <t xml:space="preserve">Schweine </t>
  </si>
  <si>
    <t>Kälber kg LG</t>
  </si>
  <si>
    <t>Rinder kg LG</t>
  </si>
  <si>
    <t>Schweine kg LG</t>
  </si>
  <si>
    <t>Getreide/Hackfrüchte</t>
  </si>
  <si>
    <t>Schaffleisch kg LG</t>
  </si>
  <si>
    <t>Ziegenfleisch kg LG</t>
  </si>
  <si>
    <t>Kirsch /Spezialitäten</t>
  </si>
  <si>
    <r>
      <t>Betrieb</t>
    </r>
    <r>
      <rPr>
        <b/>
        <sz val="11"/>
        <color indexed="10"/>
        <rFont val="Arial"/>
        <family val="2"/>
      </rPr>
      <t xml:space="preserve"> </t>
    </r>
    <r>
      <rPr>
        <b/>
        <sz val="8"/>
        <color indexed="10"/>
        <rFont val="Arial"/>
        <family val="2"/>
      </rPr>
      <t>(entlöhnte Familienangehörige, Angestellte und Aushilfen)</t>
    </r>
    <r>
      <rPr>
        <b/>
        <sz val="9"/>
        <color indexed="10"/>
        <rFont val="Arial"/>
        <family val="2"/>
      </rPr>
      <t>:</t>
    </r>
  </si>
  <si>
    <t>Dat.</t>
  </si>
  <si>
    <t>format</t>
  </si>
  <si>
    <t>DATUM EFFEKTIV</t>
  </si>
  <si>
    <t>DATUMSWERT (FORMEL)</t>
  </si>
  <si>
    <t>BEWERTUNG</t>
  </si>
  <si>
    <t>Vorräte:</t>
  </si>
  <si>
    <t>V</t>
  </si>
  <si>
    <t>Muni kg LG</t>
  </si>
  <si>
    <t xml:space="preserve">Maiskolbenschrot getr. </t>
  </si>
  <si>
    <t>CCM-Würfel</t>
  </si>
  <si>
    <t>Bitte beachten Sie noch folgende Punkte betreffend Ihren Buchhaltungsunterlagen:</t>
  </si>
  <si>
    <t>(m3, dt, Stk. etc.) bereits mit dem entsprechenden Einheitswert bzw. Preis hinterlegt ist.</t>
  </si>
  <si>
    <r>
      <t>Bsp. Heu/Emd Ballen=</t>
    </r>
    <r>
      <rPr>
        <b/>
        <sz val="12"/>
        <rFont val="Arial"/>
        <family val="2"/>
      </rPr>
      <t>dt</t>
    </r>
    <r>
      <rPr>
        <sz val="12"/>
        <rFont val="Arial"/>
        <family val="2"/>
      </rPr>
      <t>, Brennholz=</t>
    </r>
    <r>
      <rPr>
        <b/>
        <sz val="12"/>
        <rFont val="Arial"/>
        <family val="2"/>
      </rPr>
      <t>Ster</t>
    </r>
    <r>
      <rPr>
        <sz val="12"/>
        <rFont val="Arial"/>
        <family val="2"/>
      </rPr>
      <t>, Grassiloballen=</t>
    </r>
    <r>
      <rPr>
        <b/>
        <sz val="12"/>
        <rFont val="Arial"/>
        <family val="2"/>
      </rPr>
      <t>Stk</t>
    </r>
    <r>
      <rPr>
        <sz val="12"/>
        <rFont val="Arial"/>
        <family val="2"/>
      </rPr>
      <t>., Mais siliert=</t>
    </r>
    <r>
      <rPr>
        <b/>
        <sz val="12"/>
        <rFont val="Arial"/>
        <family val="2"/>
      </rPr>
      <t>m3</t>
    </r>
    <r>
      <rPr>
        <sz val="12"/>
        <rFont val="Arial"/>
        <family val="2"/>
      </rPr>
      <t xml:space="preserve"> etc. </t>
    </r>
  </si>
  <si>
    <t xml:space="preserve">Tragen Sie den effektiven Kassenbestand (Bargeld) per Ende Jahr auf dem Dezember-Rapport </t>
  </si>
  <si>
    <t>Die Kassenrapporte Januar bis Dezember sollen vollständig ausgefüllt und saldiert sein bzw. wenn Sie selber buchen</t>
  </si>
  <si>
    <t xml:space="preserve">Wenn wir Ihre Steuererklärung ausfüllen sollen, bitten wir Sie, uns diese umgehend nach Erhalt (vor Ablauf der Frist) </t>
  </si>
  <si>
    <t xml:space="preserve">Vorräte, welche ausschliesslich für den Verkauf produziert werden, sind mit einem „V“ zu kennzeichnen. </t>
  </si>
  <si>
    <t xml:space="preserve">Wellen </t>
  </si>
  <si>
    <t>Div. Schweinefutter</t>
  </si>
  <si>
    <t>Div.Viehfutter</t>
  </si>
  <si>
    <t>Eltern</t>
  </si>
  <si>
    <t>Angestellte / Aushilfen</t>
  </si>
  <si>
    <r>
      <t xml:space="preserve">Bei Vorräten, die </t>
    </r>
    <r>
      <rPr>
        <u val="single"/>
        <sz val="12"/>
        <rFont val="Arial"/>
        <family val="2"/>
      </rPr>
      <t>ausschliesslich für den Weiterverkauf</t>
    </r>
    <r>
      <rPr>
        <sz val="12"/>
        <rFont val="Arial"/>
        <family val="2"/>
      </rPr>
      <t xml:space="preserve"> </t>
    </r>
    <r>
      <rPr>
        <sz val="12"/>
        <rFont val="Arial"/>
        <family val="2"/>
      </rPr>
      <t xml:space="preserve">produziert wurden (eigener Betriebszweig: </t>
    </r>
  </si>
  <si>
    <t>Jahrgang</t>
  </si>
  <si>
    <t>Bienenvölker</t>
  </si>
  <si>
    <t>Wert Total in Fr.</t>
  </si>
  <si>
    <t xml:space="preserve">Total in Fr. </t>
  </si>
  <si>
    <t xml:space="preserve">Wert Total in Fr. </t>
  </si>
  <si>
    <t xml:space="preserve">Wert in Fr. </t>
  </si>
  <si>
    <t>VERPFLEGUNGS- /ARBEITSKONTROLLE</t>
  </si>
  <si>
    <r>
      <t>Privat</t>
    </r>
    <r>
      <rPr>
        <b/>
        <sz val="9"/>
        <color indexed="10"/>
        <rFont val="Arial"/>
        <family val="2"/>
      </rPr>
      <t xml:space="preserve"> </t>
    </r>
    <r>
      <rPr>
        <b/>
        <sz val="7"/>
        <color indexed="10"/>
        <rFont val="Arial"/>
        <family val="2"/>
      </rPr>
      <t>(ohne entlöhnte Familienangehörige)</t>
    </r>
    <r>
      <rPr>
        <b/>
        <sz val="9"/>
        <color indexed="10"/>
        <rFont val="Arial"/>
        <family val="2"/>
      </rPr>
      <t>:</t>
    </r>
  </si>
  <si>
    <t>300 Tage = 1 AK</t>
  </si>
  <si>
    <t>Dosen</t>
  </si>
  <si>
    <r>
      <t xml:space="preserve">Feldinventar </t>
    </r>
    <r>
      <rPr>
        <sz val="8"/>
        <rFont val="Arial"/>
        <family val="2"/>
      </rPr>
      <t xml:space="preserve">  Für DfE-Abschluss   Bitte ein sep. Blatt aus-</t>
    </r>
  </si>
  <si>
    <r>
      <t xml:space="preserve">Total                          </t>
    </r>
    <r>
      <rPr>
        <b/>
        <sz val="8"/>
        <rFont val="Arial"/>
        <family val="2"/>
      </rPr>
      <t xml:space="preserve"> 1100 / 4311</t>
    </r>
  </si>
  <si>
    <t>Vorjahr</t>
  </si>
  <si>
    <t>RV Zucht u. Nutzung</t>
  </si>
  <si>
    <t>Æ</t>
  </si>
  <si>
    <t>Kühe</t>
  </si>
  <si>
    <t>4310/4311</t>
  </si>
  <si>
    <t>TOTAL GVE</t>
  </si>
  <si>
    <t>*)   nur ausfüllen, wenn Betriebszweig geführt wird</t>
  </si>
  <si>
    <t xml:space="preserve">Aufzuchtkälber unter 4 Monate alt </t>
  </si>
  <si>
    <t>Zuchttiere: vorsichtiger Marktwert, z.Bsp. 80 % des Versicherungswertes</t>
  </si>
  <si>
    <t>EINGABE-FELDER:</t>
  </si>
  <si>
    <t>Veränderung a</t>
  </si>
  <si>
    <t>Bio</t>
  </si>
  <si>
    <t>IP</t>
  </si>
  <si>
    <t>Konventionell</t>
  </si>
  <si>
    <t>Betriebstyp:</t>
  </si>
  <si>
    <t>Geflügelhaltung</t>
  </si>
  <si>
    <t>Andere</t>
  </si>
  <si>
    <t>Rindviehhaltung</t>
  </si>
  <si>
    <t>Label:</t>
  </si>
  <si>
    <t>Tel.-Nr. Zentrale: 061 976 95 30</t>
  </si>
  <si>
    <t>Kontakt: info@lerch-treuhand.ch</t>
  </si>
  <si>
    <t>Fax-Nr. Zentrale:  061 971 35 26</t>
  </si>
  <si>
    <t>HINWEISE ZUM AUSFÜLLEN:</t>
  </si>
  <si>
    <t>Träsch/Branntwein</t>
  </si>
  <si>
    <t xml:space="preserve">Legen Sie die Bankauszüge, Zinsausweise und Kopien sämtlicher Sparhefte bei (bitte die beiden letzteren auch beim </t>
  </si>
  <si>
    <t>Benutzen von Buchhaltungsprogrammen).</t>
  </si>
  <si>
    <t xml:space="preserve">Jungvieh zur Zucht, 4 - 12 Monate alt </t>
  </si>
  <si>
    <r>
      <t xml:space="preserve">Zuchtstiere </t>
    </r>
    <r>
      <rPr>
        <u val="single"/>
        <sz val="9"/>
        <rFont val="Arial"/>
        <family val="2"/>
      </rPr>
      <t>älter als 1 Jahr</t>
    </r>
  </si>
  <si>
    <t>Kirsch / Spezialitäten</t>
  </si>
  <si>
    <t>Pellets</t>
  </si>
  <si>
    <t>t</t>
  </si>
  <si>
    <r>
      <t xml:space="preserve">Holz </t>
    </r>
    <r>
      <rPr>
        <b/>
        <sz val="8"/>
        <rFont val="Arial"/>
        <family val="2"/>
      </rPr>
      <t>zugekauft</t>
    </r>
  </si>
  <si>
    <r>
      <t xml:space="preserve">Stroh </t>
    </r>
    <r>
      <rPr>
        <b/>
        <sz val="8"/>
        <rFont val="Arial"/>
        <family val="2"/>
      </rPr>
      <t>zugekauft</t>
    </r>
  </si>
  <si>
    <r>
      <t xml:space="preserve">ZR-Schnitzelballen </t>
    </r>
    <r>
      <rPr>
        <b/>
        <sz val="7"/>
        <rFont val="Arial"/>
        <family val="2"/>
      </rPr>
      <t xml:space="preserve">zugek. </t>
    </r>
  </si>
  <si>
    <t>Legehennen 51-500 Stk.</t>
  </si>
  <si>
    <t>GEERNTETE FLÄCHE!</t>
  </si>
  <si>
    <t xml:space="preserve">Düngerstreuer </t>
  </si>
  <si>
    <t xml:space="preserve">Bemerkungen: </t>
  </si>
  <si>
    <t>Zum Berechnen der Veränderung Pachtland/Eigenland
bitte ausfüllen:</t>
  </si>
  <si>
    <t>=</t>
  </si>
  <si>
    <t>+</t>
  </si>
  <si>
    <t>-</t>
  </si>
  <si>
    <r>
      <t>Landw. Nutzfläche</t>
    </r>
    <r>
      <rPr>
        <b/>
        <sz val="9"/>
        <color indexed="10"/>
        <rFont val="Arial"/>
        <family val="2"/>
      </rPr>
      <t xml:space="preserve"> </t>
    </r>
    <r>
      <rPr>
        <b/>
        <sz val="7"/>
        <color indexed="10"/>
        <rFont val="Arial"/>
        <family val="2"/>
      </rPr>
      <t>(Direktzahlungen)</t>
    </r>
  </si>
  <si>
    <r>
      <t xml:space="preserve">Veränderung der Flächen: </t>
    </r>
    <r>
      <rPr>
        <sz val="8"/>
        <rFont val="Arial"/>
        <family val="2"/>
      </rPr>
      <t>Bitte zutreffendes markieren</t>
    </r>
  </si>
  <si>
    <r>
      <t xml:space="preserve">ZR-Schnitzel </t>
    </r>
    <r>
      <rPr>
        <b/>
        <sz val="7"/>
        <rFont val="Arial"/>
        <family val="2"/>
      </rPr>
      <t>zugek</t>
    </r>
    <r>
      <rPr>
        <sz val="7"/>
        <rFont val="Arial"/>
        <family val="2"/>
      </rPr>
      <t>. lose</t>
    </r>
  </si>
  <si>
    <t xml:space="preserve">Futterweizen  </t>
  </si>
  <si>
    <t>Kälbermast / Mutterkuhkälber</t>
  </si>
  <si>
    <t>Mutterkuhkälber</t>
  </si>
  <si>
    <t>Kälbermast/Mutterkuhk.</t>
  </si>
  <si>
    <t>BEMERKUNGEN</t>
  </si>
  <si>
    <t>zu den Inventar-Formularen im Internet:</t>
  </si>
  <si>
    <t xml:space="preserve">Diverse Mitteilungen/Anmerkungen/Wünsche etc. </t>
  </si>
  <si>
    <t>Name</t>
  </si>
  <si>
    <t>Bewertung
 BH</t>
  </si>
  <si>
    <t>Zukauf</t>
  </si>
  <si>
    <r>
      <t xml:space="preserve">Anderes </t>
    </r>
    <r>
      <rPr>
        <sz val="6"/>
        <rFont val="Arial"/>
        <family val="2"/>
      </rPr>
      <t>(Schenkung etc.)</t>
    </r>
  </si>
  <si>
    <t>Jahr-gang</t>
  </si>
  <si>
    <t xml:space="preserve">TOTAL      </t>
  </si>
  <si>
    <t>1140/4409</t>
  </si>
  <si>
    <t>Gesellschaftsform:</t>
  </si>
  <si>
    <t>Bsp. Gen.gem., BZG, Betriebsgemeinschaft</t>
  </si>
  <si>
    <t>des neuen Jahres beizulegen (für Abgrenzungen Ende Jahr).</t>
  </si>
  <si>
    <t>zuzustellen (inkl. notwendige Bescheinigungen/Unterlagen). Wir ersuchen dann um Fristverlängerung.</t>
  </si>
  <si>
    <t xml:space="preserve">Die meisten Bewertungsfelder wurden von uns bereits mit Einheitswerten versehen. Es sind jedoch </t>
  </si>
  <si>
    <t>Wenn die Unterlagen "spät" geschickt werden, bitten wir Sie, auch die Kassen- und Bankrapporte (bzw. die Auszüge)</t>
  </si>
  <si>
    <r>
      <t>DETAIL-VIEHBESTAND</t>
    </r>
  </si>
  <si>
    <t>DETAIL-VIEHBESTAND</t>
  </si>
  <si>
    <t xml:space="preserve">SELBSTPRODUZIERTE VORRÄTE </t>
  </si>
  <si>
    <t xml:space="preserve">ZUGEKAUFTE VORRÄTE </t>
  </si>
  <si>
    <t>dazwischen noch leere Felder vorhanden, die vom Kunden selber ausgefüllt werden können.</t>
  </si>
  <si>
    <t>Bei den Vorräten ist speziell zu beachten, dass die übliche Mengenangabe</t>
  </si>
  <si>
    <t>RINDVIEH</t>
  </si>
  <si>
    <t>ALLGEMEINE ANGABEN ÜBER DAS BUCHHALTUNGSJAHR</t>
  </si>
  <si>
    <t>PFERDE</t>
  </si>
  <si>
    <t xml:space="preserve">Bei mehreren Teilhabern (BG/Gen.gem. etc. ) bitte auf </t>
  </si>
  <si>
    <t>Blatt "Bemerkungen" ergänzen.</t>
  </si>
  <si>
    <t>Die anderen Zellen sind schreibgeschützt (Formeln etc.).</t>
  </si>
  <si>
    <r>
      <t xml:space="preserve">Falls Sie </t>
    </r>
    <r>
      <rPr>
        <b/>
        <i/>
        <u val="single"/>
        <sz val="11"/>
        <rFont val="Arial"/>
        <family val="2"/>
      </rPr>
      <t>andere Mengenangaben</t>
    </r>
    <r>
      <rPr>
        <b/>
        <i/>
        <sz val="11"/>
        <rFont val="Arial"/>
        <family val="2"/>
      </rPr>
      <t xml:space="preserve"> haben (Bsp. Grassiloballen in m3, statt in Stück), müssen Sie diese 
</t>
    </r>
  </si>
  <si>
    <t>ALLES AUSGEFÜLLT?</t>
  </si>
  <si>
    <t>eigenes Fohlen</t>
  </si>
  <si>
    <t>im Buchhaltungsjahr</t>
  </si>
  <si>
    <t>Versicherungswert
oder
Kaufpreis</t>
  </si>
  <si>
    <t>HINWEISE ZUM AUSFÜLLEN DES INVENTARS IM EXCEL</t>
  </si>
  <si>
    <t>…alles Gute und viel Erfolg…</t>
  </si>
  <si>
    <t xml:space="preserve"> (freiwillige Angaben)</t>
  </si>
  <si>
    <t>Festnetz- und Faxnummer/n</t>
  </si>
  <si>
    <t>Natelnummer/n</t>
  </si>
  <si>
    <t>(Cashman, Agris, Protecdata etc.) vollständig verbucht sein. Die Endbestände der Betriebskonten sollen mit den</t>
  </si>
  <si>
    <t xml:space="preserve"> Bank- bzw. PC-Auszügen übereinstimmen.</t>
  </si>
  <si>
    <t>alle Perioden (=Monate) zu markieren.</t>
  </si>
  <si>
    <r>
      <t xml:space="preserve">REGISTER:*                                               </t>
    </r>
    <r>
      <rPr>
        <sz val="10"/>
        <rFont val="Arial"/>
        <family val="2"/>
      </rPr>
      <t xml:space="preserve"> *Anmerkung: Die Tabellen erscheinen nur farbig ab Office 2000.</t>
    </r>
  </si>
  <si>
    <r>
      <t xml:space="preserve">Cashman-Kunden bitten wir, die Daten per  </t>
    </r>
    <r>
      <rPr>
        <b/>
        <sz val="11"/>
        <rFont val="Arial"/>
        <family val="2"/>
      </rPr>
      <t>Export</t>
    </r>
    <r>
      <rPr>
        <sz val="11"/>
        <rFont val="Arial"/>
        <family val="2"/>
      </rPr>
      <t xml:space="preserve"> (nicht Sicherung) zu übermitteln. Bitte nicht vergessen, </t>
    </r>
  </si>
  <si>
    <t>Wichtig: Bitte Zukaufspreise bei Preis eintragen!</t>
  </si>
  <si>
    <t>E-Mailadresse/n und
Homepage</t>
  </si>
  <si>
    <t xml:space="preserve">Kassenbestand per 31.12.: </t>
  </si>
  <si>
    <t xml:space="preserve">Nr. </t>
  </si>
  <si>
    <t>WERTSCHRIFTEN / KASSENSALDO</t>
  </si>
  <si>
    <t>Konto Nr. / 
Valoren-Nr.</t>
  </si>
  <si>
    <t>Seite 2</t>
  </si>
  <si>
    <t>Total Seiten 1 + 2</t>
  </si>
  <si>
    <t>Übertrag von Seite 1</t>
  </si>
  <si>
    <t>Investitionskredite</t>
  </si>
  <si>
    <t>Hypotheken</t>
  </si>
  <si>
    <t>Andere feste Schulden (Darlehen)</t>
  </si>
  <si>
    <t>Lohnschulden</t>
  </si>
  <si>
    <t>SCHULDENVERZEICHNIS</t>
  </si>
  <si>
    <t>Wohnrechte</t>
  </si>
  <si>
    <t>Bei Bedarf werden diese Felder bewertungsmässig durch den Sachbearbeiter auf spezielle Betriebstypen angepasst!</t>
  </si>
  <si>
    <r>
      <t xml:space="preserve">entweder                  </t>
    </r>
    <r>
      <rPr>
        <b/>
        <i/>
        <sz val="11"/>
        <color indexed="10"/>
        <rFont val="Arial"/>
        <family val="2"/>
      </rPr>
      <t xml:space="preserve">selber auf die Stückzahl umrechnen 
</t>
    </r>
    <r>
      <rPr>
        <b/>
        <i/>
        <sz val="11"/>
        <rFont val="Arial"/>
        <family val="2"/>
      </rPr>
      <t xml:space="preserve">oder auf eine           </t>
    </r>
    <r>
      <rPr>
        <b/>
        <i/>
        <sz val="11"/>
        <color indexed="10"/>
        <rFont val="Arial"/>
        <family val="2"/>
      </rPr>
      <t>separate Zeile</t>
    </r>
    <r>
      <rPr>
        <b/>
        <i/>
        <sz val="11"/>
        <rFont val="Arial"/>
        <family val="2"/>
      </rPr>
      <t xml:space="preserve"> mit </t>
    </r>
    <r>
      <rPr>
        <b/>
        <i/>
        <sz val="11"/>
        <color indexed="10"/>
        <rFont val="Arial"/>
        <family val="2"/>
      </rPr>
      <t>entsprechender Einheit sowie Preis</t>
    </r>
    <r>
      <rPr>
        <b/>
        <i/>
        <sz val="11"/>
        <rFont val="Arial"/>
        <family val="2"/>
      </rPr>
      <t xml:space="preserve"> notieren.</t>
    </r>
  </si>
  <si>
    <t xml:space="preserve">LAUFENDE SCHULDEN (KREDITOREN) </t>
  </si>
  <si>
    <t xml:space="preserve">GUTHABEN (DEBITOREN) </t>
  </si>
  <si>
    <r>
      <t xml:space="preserve">Drucken Sie das ausgefüllte Inventar aus und schicken Sie es zusammen mit den weiteren Unterlagen für den Buchhaltungsabschluss an die 
</t>
    </r>
    <r>
      <rPr>
        <b/>
        <sz val="12"/>
        <rFont val="Arial"/>
        <family val="2"/>
      </rPr>
      <t xml:space="preserve">Lerch Treuhand AG, Gstaadmattstrasse 5, 4452 Itingen BL </t>
    </r>
    <r>
      <rPr>
        <sz val="12"/>
        <rFont val="Arial"/>
        <family val="2"/>
      </rPr>
      <t xml:space="preserve">
</t>
    </r>
  </si>
  <si>
    <t>Bemerkungen:</t>
  </si>
  <si>
    <t>Harnstoff</t>
  </si>
  <si>
    <r>
      <t>(Wird durch Lerch Treuhand AG ausgefüllt)</t>
    </r>
    <r>
      <rPr>
        <b/>
        <sz val="8"/>
        <rFont val="Arial"/>
        <family val="2"/>
      </rPr>
      <t xml:space="preserve">  </t>
    </r>
    <r>
      <rPr>
        <b/>
        <sz val="12"/>
        <rFont val="Arial"/>
        <family val="2"/>
      </rPr>
      <t>GVE</t>
    </r>
  </si>
  <si>
    <t>Vieh im Aufzuchtvertrag</t>
  </si>
  <si>
    <t>1101/4311</t>
  </si>
  <si>
    <r>
      <t xml:space="preserve">bitte nur </t>
    </r>
    <r>
      <rPr>
        <u val="single"/>
        <sz val="12"/>
        <rFont val="Arial"/>
        <family val="2"/>
      </rPr>
      <t>eigene</t>
    </r>
    <r>
      <rPr>
        <sz val="12"/>
        <rFont val="Arial"/>
        <family val="2"/>
      </rPr>
      <t xml:space="preserve"> Pferde aufschreiben
</t>
    </r>
    <r>
      <rPr>
        <sz val="10"/>
        <rFont val="Arial"/>
        <family val="2"/>
      </rPr>
      <t xml:space="preserve"> (keine Pensionspferde/Ferienpferde und dergleichen)!</t>
    </r>
  </si>
  <si>
    <t>Angaben über Ihre aktuellen persönlichen Kontaktdaten</t>
  </si>
  <si>
    <t>Bitte keine Vorräte für den Haushalt angeben!</t>
  </si>
  <si>
    <r>
      <t xml:space="preserve">Bitte beachten Sie, dass nur die farbig hinterlegten Felder ausgefüllt werden können </t>
    </r>
    <r>
      <rPr>
        <sz val="8"/>
        <rFont val="Arial"/>
        <family val="2"/>
      </rPr>
      <t>(Text, Einheit, Preis, Zahl…)</t>
    </r>
  </si>
  <si>
    <r>
      <t>Gemüsebau, Weinbau etc.), kann im entsprechenden Feld</t>
    </r>
    <r>
      <rPr>
        <sz val="14"/>
        <color indexed="49"/>
        <rFont val="Arial"/>
        <family val="2"/>
      </rPr>
      <t xml:space="preserve"> </t>
    </r>
    <r>
      <rPr>
        <b/>
        <sz val="14"/>
        <color indexed="49"/>
        <rFont val="Arial"/>
        <family val="2"/>
      </rPr>
      <t xml:space="preserve">blau </t>
    </r>
    <r>
      <rPr>
        <sz val="12"/>
        <rFont val="Arial"/>
        <family val="2"/>
      </rPr>
      <t>der Buchstabe "</t>
    </r>
    <r>
      <rPr>
        <b/>
        <sz val="12"/>
        <rFont val="Arial"/>
        <family val="2"/>
      </rPr>
      <t>V</t>
    </r>
    <r>
      <rPr>
        <sz val="12"/>
        <rFont val="Arial"/>
        <family val="2"/>
      </rPr>
      <t xml:space="preserve">" eingesetzt werden. </t>
    </r>
  </si>
  <si>
    <t>Diese Vorräte werden dann auf ein sep. Konto gebucht (i.d.R. Kto. 1200, siehe Seite 9).</t>
  </si>
  <si>
    <t>nicht beigelegt werden).</t>
  </si>
  <si>
    <t>füllen oder mit Ihrer/m Mandatsleiter/in Kontakt aufnehmen</t>
  </si>
  <si>
    <t>und beachten Sie bitte: 1 dt = 1 q = 100 kg</t>
  </si>
  <si>
    <r>
      <t xml:space="preserve">oder im Inventar im Register "Wertschr._Kasse" ein. </t>
    </r>
    <r>
      <rPr>
        <b/>
        <sz val="11"/>
        <rFont val="Arial"/>
        <family val="2"/>
      </rPr>
      <t>Die Kasse darf nie negativ sein!</t>
    </r>
  </si>
  <si>
    <t>zur Buchhaltung/Steuererklärung:</t>
  </si>
  <si>
    <r>
      <t xml:space="preserve">Landwirtschaftskonti, Wertschriften und Anteilscheine </t>
    </r>
    <r>
      <rPr>
        <b/>
        <i/>
        <sz val="11"/>
        <rFont val="Arial"/>
        <family val="2"/>
      </rPr>
      <t xml:space="preserve">(nur ausfüllen, wenn die entsprechenden Belege </t>
    </r>
  </si>
  <si>
    <t>Bitte geben Sie uns Ihre aktuellen Kontaktdaten auf Formular "Allgemeine Angaben" (unten) an, falls neu.</t>
  </si>
  <si>
    <t>Bei den "zugekauften Vorräten" bitte den Kaufpreis eintragen (erleichtert uns die Vorbereitung der Buchhaltung).</t>
  </si>
  <si>
    <t>Bei den "Debitoren" und "Kreditoren" gibt es jeweils eine zusätzliche Seite.</t>
  </si>
  <si>
    <t>Bitte eigene Tiere in Aufzuchtverträgen im Register "Rindvieh" eingetragen.</t>
  </si>
  <si>
    <t>CCM siliert</t>
  </si>
  <si>
    <t xml:space="preserve">Differenz Pachtland </t>
  </si>
  <si>
    <t xml:space="preserve">Differenz Eigentum </t>
  </si>
  <si>
    <r>
      <t xml:space="preserve">
oder senden Sie uns das Inventar per E-Mail an die folgende Adresse
</t>
    </r>
    <r>
      <rPr>
        <b/>
        <sz val="12"/>
        <rFont val="Arial"/>
        <family val="2"/>
      </rPr>
      <t xml:space="preserve">info@lerch-treuhand.ch  </t>
    </r>
    <r>
      <rPr>
        <sz val="12"/>
        <rFont val="Arial"/>
        <family val="2"/>
      </rPr>
      <t xml:space="preserve">           oder 
an die bekannte Adresse </t>
    </r>
    <r>
      <rPr>
        <b/>
        <sz val="12"/>
        <rFont val="Arial"/>
        <family val="2"/>
      </rPr>
      <t xml:space="preserve">Ihrer Mandatsleiterin bzw. Ihres Mandatsleiters </t>
    </r>
    <r>
      <rPr>
        <sz val="12"/>
        <rFont val="Arial"/>
        <family val="2"/>
      </rPr>
      <t xml:space="preserve">
(diese können Sie unserer Website entnehmen).</t>
    </r>
  </si>
  <si>
    <t>Streue</t>
  </si>
  <si>
    <t>Hackschnitzel</t>
  </si>
  <si>
    <t>m3</t>
  </si>
  <si>
    <t>Kälbermast</t>
  </si>
  <si>
    <t>Mastvieh (Grossviehmast)</t>
  </si>
  <si>
    <t>Total zugekaufte Vorräte           1220</t>
  </si>
  <si>
    <r>
      <t xml:space="preserve">Total Vorräte für Verkauf </t>
    </r>
    <r>
      <rPr>
        <b/>
        <sz val="7"/>
        <color indexed="10"/>
        <rFont val="Arial"/>
        <family val="2"/>
      </rPr>
      <t>(siehe in BH)</t>
    </r>
  </si>
  <si>
    <t>Brennholz gespalten</t>
  </si>
  <si>
    <t>600.-- bis 1600.--</t>
  </si>
  <si>
    <t>300.-- bis 600.--</t>
  </si>
  <si>
    <t>()C</t>
  </si>
  <si>
    <t>ca. 80'000.--</t>
  </si>
  <si>
    <t>Bitte beachten Sie folgende Punkte für das Inventar 2019:</t>
  </si>
  <si>
    <t>Durchschnitts-Gewicht</t>
  </si>
  <si>
    <t>Preis pro Stück</t>
  </si>
  <si>
    <t>Wert Total</t>
  </si>
  <si>
    <r>
      <t xml:space="preserve">Mastvieh 150 kg bis 300 kg LG </t>
    </r>
    <r>
      <rPr>
        <sz val="8"/>
        <color indexed="10"/>
        <rFont val="Arial"/>
        <family val="2"/>
      </rPr>
      <t>(Ø 220 kg)</t>
    </r>
  </si>
  <si>
    <t>2019</t>
  </si>
  <si>
    <r>
      <t xml:space="preserve">Jahr
</t>
    </r>
    <r>
      <rPr>
        <b/>
        <sz val="7"/>
        <color indexed="10"/>
        <rFont val="Arial"/>
        <family val="2"/>
      </rPr>
      <t>Bsp. 2018</t>
    </r>
  </si>
  <si>
    <t xml:space="preserve">pro Stück </t>
  </si>
  <si>
    <t>Wenn der Platz für die Vorräte (Weininventar, Hofladen etc.) nicht ausreicht, können Sie uns die Vorräte gerne auch auf einem separatem Blatt übermitteln.</t>
  </si>
  <si>
    <t>Vergleich mit Buchhaltung Vorjahr (2018):</t>
  </si>
  <si>
    <t>Total Pachtland 2018</t>
  </si>
  <si>
    <t>Total Eigentum 2018</t>
  </si>
  <si>
    <t>= Total Betriebsfläche 2018</t>
  </si>
  <si>
    <t>März 2020 bis Juli 2020</t>
  </si>
  <si>
    <t>Bsp. 31.7.2019</t>
  </si>
  <si>
    <t>5’000.--</t>
  </si>
  <si>
    <t>ANBAUPLAN ERNTEJAHR:</t>
  </si>
  <si>
    <r>
      <t xml:space="preserve">Bitte füllen Sie auf den folgenden Seiten die Daten ein, die für Ihren Betrieb notwendig sind. </t>
    </r>
    <r>
      <rPr>
        <sz val="10"/>
        <rFont val="Arial"/>
        <family val="2"/>
      </rPr>
      <t xml:space="preserve">Sie können dazu auch den letztjährigen Buchhaltungsabschluss zur Hand nehmen.
</t>
    </r>
    <r>
      <rPr>
        <sz val="12"/>
        <rFont val="Arial"/>
        <family val="2"/>
      </rPr>
      <t xml:space="preserve">Insbesondere </t>
    </r>
    <r>
      <rPr>
        <sz val="12"/>
        <rFont val="Arial"/>
        <family val="2"/>
      </rPr>
      <t xml:space="preserve">auszufüllen sind die </t>
    </r>
    <r>
      <rPr>
        <sz val="14"/>
        <color indexed="10"/>
        <rFont val="Arial"/>
        <family val="2"/>
      </rPr>
      <t>roten</t>
    </r>
    <r>
      <rPr>
        <sz val="12"/>
        <rFont val="Arial"/>
        <family val="2"/>
      </rPr>
      <t xml:space="preserve"> Register (je nach Betriebszweig).
Wer ein detailliertes Rindviehinventar (jedes Tier einzeln) wünscht, füllt die </t>
    </r>
    <r>
      <rPr>
        <b/>
        <sz val="14"/>
        <color indexed="13"/>
        <rFont val="Arial"/>
        <family val="2"/>
      </rPr>
      <t>gelben</t>
    </r>
    <r>
      <rPr>
        <sz val="12"/>
        <rFont val="Arial"/>
        <family val="2"/>
      </rPr>
      <t xml:space="preserve"> </t>
    </r>
    <r>
      <rPr>
        <sz val="12"/>
        <rFont val="Arial"/>
        <family val="2"/>
      </rPr>
      <t xml:space="preserve">Register "Detail Kühe/Detail Aufzucht/Detail Mast" aus. Auch wer zuwenig Platz beim Mastvieh hat, kann zusätzlich das Register "Detail Mast" benutzen.
Wenn Sie noch weitere Angaben haben, die Sie nicht auf den dafür vorgesehenen Stellen einfüllen können, dann benutzen Sie dafür bitte das </t>
    </r>
    <r>
      <rPr>
        <b/>
        <sz val="16"/>
        <color indexed="57"/>
        <rFont val="Arial"/>
        <family val="2"/>
      </rPr>
      <t>grüne</t>
    </r>
    <r>
      <rPr>
        <sz val="12"/>
        <rFont val="Arial"/>
        <family val="2"/>
      </rPr>
      <t xml:space="preserve"> Register "Bemerkungen zum IV".</t>
    </r>
  </si>
  <si>
    <t>Zuchtstiere / Aufzuchtvieh</t>
  </si>
  <si>
    <t>Durchschnitts-Gewicht
kg</t>
  </si>
</sst>
</file>

<file path=xl/styles.xml><?xml version="1.0" encoding="utf-8"?>
<styleSheet xmlns="http://schemas.openxmlformats.org/spreadsheetml/2006/main">
  <numFmts count="7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_ [$€-2]\ * #,##0.00_ ;_ [$€-2]\ * \-#,##0.00_ ;_ [$€-2]\ * &quot;-&quot;??_ "/>
    <numFmt numFmtId="181" formatCode="_ [$SFr.-807]\ * #,##0.00_ ;_ [$SFr.-807]\ * \-#,##0.00_ ;_ [$SFr.-807]\ * &quot;-&quot;??_ ;_ @_ "/>
    <numFmt numFmtId="182" formatCode="&quot;SFr.&quot;\ #,##0.00"/>
    <numFmt numFmtId="183" formatCode="#,##0.00_ ;\-#,##0.00\ "/>
    <numFmt numFmtId="184" formatCode="0.0"/>
    <numFmt numFmtId="185" formatCode="0.000"/>
    <numFmt numFmtId="186" formatCode="_ * #,##0.000_ ;_ * \-#,##0.000_ ;_ * &quot;-&quot;??_ ;_ @_ "/>
    <numFmt numFmtId="187" formatCode="_ * #,##0.0000_ ;_ * \-#,##0.0000_ ;_ * &quot;-&quot;??_ ;_ @_ "/>
    <numFmt numFmtId="188" formatCode="_ * #,##0.0_ ;_ * \-#,##0.0_ ;_ * &quot;-&quot;??_ ;_ @_ "/>
    <numFmt numFmtId="189" formatCode="_ * #,##0_ ;_ * \-#,##0_ ;_ * &quot;-&quot;??_ ;_ @_ "/>
    <numFmt numFmtId="190" formatCode="[$-807]dddd\,\ d\.\ mmmm\ yyyy"/>
    <numFmt numFmtId="191" formatCode="yyyy"/>
    <numFmt numFmtId="192" formatCode="#,##0.0"/>
    <numFmt numFmtId="193" formatCode="#,##0.000"/>
    <numFmt numFmtId="194" formatCode="#,##0.0000"/>
    <numFmt numFmtId="195" formatCode="_ [$SFr.-807]\ * #,##0.000_ ;_ [$SFr.-807]\ * \-#,##0.000_ ;_ [$SFr.-807]\ * &quot;-&quot;??_ ;_ @_ "/>
    <numFmt numFmtId="196" formatCode="_ [$SFr.-807]\ * #,##0.0_ ;_ [$SFr.-807]\ * \-#,##0.0_ ;_ [$SFr.-807]\ * &quot;-&quot;??_ ;_ @_ "/>
    <numFmt numFmtId="197" formatCode="_ [$SFr.-807]\ * #,##0_ ;_ [$SFr.-807]\ * \-#,##0_ ;_ [$SFr.-807]\ * &quot;-&quot;??_ ;_ @_ "/>
    <numFmt numFmtId="198" formatCode="\y\y\y\y"/>
    <numFmt numFmtId="199" formatCode="mmm\ yyyy"/>
    <numFmt numFmtId="200" formatCode="dd/mm/yyyy;@"/>
    <numFmt numFmtId="201" formatCode="_ &quot;SFr.&quot;\ * #,##0.0_ ;_ &quot;SFr.&quot;\ * \-#,##0.0_ ;_ &quot;SFr.&quot;\ * &quot;-&quot;??_ ;_ @_ "/>
    <numFmt numFmtId="202" formatCode="_ &quot;SFr.&quot;\ * #,##0_ ;_ &quot;SFr.&quot;\ * \-#,##0_ ;_ &quot;SFr.&quot;\ * &quot;-&quot;??_ ;_ @_ "/>
    <numFmt numFmtId="203" formatCode="\ yyyy;@"/>
    <numFmt numFmtId="204" formatCode="\a"/>
    <numFmt numFmtId="205" formatCode="0.00;[Red]0.00"/>
    <numFmt numFmtId="206" formatCode="0.0000000"/>
    <numFmt numFmtId="207" formatCode="0.00000000"/>
    <numFmt numFmtId="208" formatCode="0.000000000"/>
    <numFmt numFmtId="209" formatCode="0.000000"/>
    <numFmt numFmtId="210" formatCode="0.00000"/>
    <numFmt numFmtId="211" formatCode="0.0000"/>
    <numFmt numFmtId="212" formatCode="_ * #,##0.00000_ ;_ * \-#,##0.00000_ ;_ * &quot;-&quot;??_ ;_ @_ "/>
    <numFmt numFmtId="213" formatCode="_ * #,##0.000000_ ;_ * \-#,##0.000000_ ;_ * &quot;-&quot;??_ ;_ @_ "/>
    <numFmt numFmtId="214" formatCode="0.00_ ;\-0.00\ "/>
    <numFmt numFmtId="215" formatCode="\+0.00"/>
    <numFmt numFmtId="216" formatCode="0.000;[Red]0.000"/>
    <numFmt numFmtId="217" formatCode="0.0;[Red]0.0"/>
    <numFmt numFmtId="218" formatCode="0;[Red]0"/>
    <numFmt numFmtId="219" formatCode="_ * #,##0.0000000_ ;_ * \-#,##0.0000000_ ;_ * &quot;-&quot;??_ ;_ @_ "/>
    <numFmt numFmtId="220" formatCode="#,##0_ ;[Red]\-#,##0\ "/>
    <numFmt numFmtId="221" formatCode="#,##0;[Red]#,##0"/>
    <numFmt numFmtId="222" formatCode="#,##0_ ;\-#,##0\ "/>
    <numFmt numFmtId="223" formatCode="#,##0.0000_ ;\-#,##0.0000\ "/>
    <numFmt numFmtId="224" formatCode="#,##0.000_ ;\-#,##0.000\ "/>
    <numFmt numFmtId="225" formatCode="#,##0.0_ ;\-#,##0.0\ "/>
    <numFmt numFmtId="226" formatCode="&quot;CHF&quot;\ #,##0.00"/>
  </numFmts>
  <fonts count="128">
    <font>
      <sz val="10"/>
      <name val="Arial"/>
      <family val="0"/>
    </font>
    <font>
      <sz val="12"/>
      <name val="Arial"/>
      <family val="2"/>
    </font>
    <font>
      <b/>
      <sz val="12"/>
      <name val="Arial"/>
      <family val="2"/>
    </font>
    <font>
      <b/>
      <sz val="11"/>
      <name val="Arial"/>
      <family val="2"/>
    </font>
    <font>
      <sz val="13"/>
      <name val="Arial"/>
      <family val="2"/>
    </font>
    <font>
      <i/>
      <sz val="10"/>
      <name val="Arial"/>
      <family val="2"/>
    </font>
    <font>
      <b/>
      <sz val="14"/>
      <name val="Arial"/>
      <family val="2"/>
    </font>
    <font>
      <b/>
      <sz val="10"/>
      <name val="Arial"/>
      <family val="2"/>
    </font>
    <font>
      <b/>
      <sz val="8"/>
      <name val="Arial"/>
      <family val="2"/>
    </font>
    <font>
      <sz val="8"/>
      <name val="Arial"/>
      <family val="2"/>
    </font>
    <font>
      <sz val="9"/>
      <name val="Arial"/>
      <family val="2"/>
    </font>
    <font>
      <sz val="11"/>
      <name val="Arial"/>
      <family val="2"/>
    </font>
    <font>
      <u val="single"/>
      <sz val="10"/>
      <color indexed="12"/>
      <name val="Arial"/>
      <family val="2"/>
    </font>
    <font>
      <u val="single"/>
      <sz val="10"/>
      <color indexed="36"/>
      <name val="Arial"/>
      <family val="2"/>
    </font>
    <font>
      <sz val="7"/>
      <name val="Arial"/>
      <family val="2"/>
    </font>
    <font>
      <sz val="4"/>
      <name val="Arial"/>
      <family val="2"/>
    </font>
    <font>
      <sz val="5"/>
      <name val="Arial"/>
      <family val="2"/>
    </font>
    <font>
      <sz val="10"/>
      <name val="Times New Roman"/>
      <family val="1"/>
    </font>
    <font>
      <b/>
      <sz val="9"/>
      <name val="Arial"/>
      <family val="2"/>
    </font>
    <font>
      <sz val="3"/>
      <name val="Arial"/>
      <family val="2"/>
    </font>
    <font>
      <sz val="6"/>
      <name val="Arial"/>
      <family val="2"/>
    </font>
    <font>
      <sz val="2"/>
      <name val="Arial"/>
      <family val="2"/>
    </font>
    <font>
      <b/>
      <sz val="7"/>
      <name val="Arial"/>
      <family val="2"/>
    </font>
    <font>
      <b/>
      <sz val="4"/>
      <name val="Arial"/>
      <family val="2"/>
    </font>
    <font>
      <i/>
      <sz val="9"/>
      <color indexed="18"/>
      <name val="Arial"/>
      <family val="2"/>
    </font>
    <font>
      <b/>
      <i/>
      <sz val="9"/>
      <color indexed="23"/>
      <name val="Arial"/>
      <family val="2"/>
    </font>
    <font>
      <vertAlign val="superscript"/>
      <sz val="8"/>
      <name val="Arial"/>
      <family val="2"/>
    </font>
    <font>
      <b/>
      <u val="single"/>
      <sz val="9"/>
      <name val="Arial"/>
      <family val="2"/>
    </font>
    <font>
      <b/>
      <sz val="3"/>
      <name val="Arial"/>
      <family val="2"/>
    </font>
    <font>
      <sz val="8"/>
      <name val="Tahoma"/>
      <family val="2"/>
    </font>
    <font>
      <sz val="14"/>
      <name val="Arial"/>
      <family val="2"/>
    </font>
    <font>
      <sz val="15"/>
      <name val="Arial"/>
      <family val="2"/>
    </font>
    <font>
      <sz val="8"/>
      <color indexed="12"/>
      <name val="Arial"/>
      <family val="2"/>
    </font>
    <font>
      <sz val="24"/>
      <name val="Arial"/>
      <family val="2"/>
    </font>
    <font>
      <b/>
      <sz val="14"/>
      <color indexed="10"/>
      <name val="Arial"/>
      <family val="2"/>
    </font>
    <font>
      <b/>
      <sz val="26"/>
      <name val="Arial"/>
      <family val="2"/>
    </font>
    <font>
      <b/>
      <sz val="10"/>
      <color indexed="17"/>
      <name val="Arial"/>
      <family val="2"/>
    </font>
    <font>
      <u val="single"/>
      <sz val="9"/>
      <name val="Arial"/>
      <family val="2"/>
    </font>
    <font>
      <sz val="9"/>
      <color indexed="10"/>
      <name val="Arial"/>
      <family val="2"/>
    </font>
    <font>
      <sz val="8"/>
      <color indexed="10"/>
      <name val="Arial"/>
      <family val="2"/>
    </font>
    <font>
      <sz val="10"/>
      <color indexed="10"/>
      <name val="Arial"/>
      <family val="2"/>
    </font>
    <font>
      <i/>
      <sz val="9"/>
      <color indexed="10"/>
      <name val="Arial"/>
      <family val="2"/>
    </font>
    <font>
      <i/>
      <sz val="8"/>
      <color indexed="10"/>
      <name val="Arial"/>
      <family val="2"/>
    </font>
    <font>
      <b/>
      <sz val="10"/>
      <color indexed="49"/>
      <name val="Arial"/>
      <family val="2"/>
    </font>
    <font>
      <b/>
      <sz val="9"/>
      <color indexed="10"/>
      <name val="Arial"/>
      <family val="2"/>
    </font>
    <font>
      <b/>
      <sz val="11"/>
      <color indexed="10"/>
      <name val="Arial"/>
      <family val="2"/>
    </font>
    <font>
      <b/>
      <sz val="8"/>
      <color indexed="10"/>
      <name val="Arial"/>
      <family val="2"/>
    </font>
    <font>
      <b/>
      <sz val="6"/>
      <name val="Arial"/>
      <family val="2"/>
    </font>
    <font>
      <sz val="16"/>
      <name val="Arial"/>
      <family val="2"/>
    </font>
    <font>
      <b/>
      <i/>
      <sz val="12"/>
      <name val="Arial"/>
      <family val="2"/>
    </font>
    <font>
      <b/>
      <sz val="10"/>
      <name val="Wingdings"/>
      <family val="0"/>
    </font>
    <font>
      <b/>
      <sz val="16"/>
      <name val="Arial"/>
      <family val="2"/>
    </font>
    <font>
      <u val="single"/>
      <sz val="12"/>
      <name val="Arial"/>
      <family val="2"/>
    </font>
    <font>
      <b/>
      <sz val="7"/>
      <color indexed="10"/>
      <name val="Arial"/>
      <family val="2"/>
    </font>
    <font>
      <b/>
      <sz val="10"/>
      <color indexed="10"/>
      <name val="Arial"/>
      <family val="2"/>
    </font>
    <font>
      <u val="single"/>
      <sz val="8"/>
      <name val="Arial"/>
      <family val="2"/>
    </font>
    <font>
      <b/>
      <sz val="10"/>
      <name val="Symbol"/>
      <family val="1"/>
    </font>
    <font>
      <b/>
      <sz val="8"/>
      <name val="Symbol"/>
      <family val="1"/>
    </font>
    <font>
      <b/>
      <sz val="10"/>
      <color indexed="10"/>
      <name val="Symbol"/>
      <family val="1"/>
    </font>
    <font>
      <b/>
      <sz val="12"/>
      <color indexed="10"/>
      <name val="Lucida Handwriting"/>
      <family val="4"/>
    </font>
    <font>
      <u val="single"/>
      <sz val="10"/>
      <name val="Arial"/>
      <family val="2"/>
    </font>
    <font>
      <b/>
      <u val="single"/>
      <sz val="10"/>
      <name val="Arial"/>
      <family val="2"/>
    </font>
    <font>
      <sz val="18"/>
      <name val="Arial"/>
      <family val="2"/>
    </font>
    <font>
      <sz val="18"/>
      <color indexed="10"/>
      <name val="Arial"/>
      <family val="2"/>
    </font>
    <font>
      <i/>
      <sz val="11"/>
      <name val="Arial"/>
      <family val="2"/>
    </font>
    <font>
      <b/>
      <sz val="20"/>
      <color indexed="10"/>
      <name val="Arial"/>
      <family val="2"/>
    </font>
    <font>
      <sz val="14"/>
      <color indexed="10"/>
      <name val="Arial"/>
      <family val="2"/>
    </font>
    <font>
      <b/>
      <u val="single"/>
      <sz val="14"/>
      <name val="Arial"/>
      <family val="2"/>
    </font>
    <font>
      <b/>
      <sz val="11"/>
      <color indexed="10"/>
      <name val="Lucida Handwriting"/>
      <family val="4"/>
    </font>
    <font>
      <b/>
      <sz val="16"/>
      <color indexed="10"/>
      <name val="Arial"/>
      <family val="2"/>
    </font>
    <font>
      <b/>
      <i/>
      <sz val="11"/>
      <color indexed="10"/>
      <name val="Arial"/>
      <family val="2"/>
    </font>
    <font>
      <b/>
      <i/>
      <sz val="11"/>
      <name val="Arial"/>
      <family val="2"/>
    </font>
    <font>
      <b/>
      <i/>
      <u val="single"/>
      <sz val="11"/>
      <name val="Arial"/>
      <family val="2"/>
    </font>
    <font>
      <b/>
      <sz val="28"/>
      <name val="Arial"/>
      <family val="2"/>
    </font>
    <font>
      <b/>
      <i/>
      <sz val="14"/>
      <color indexed="10"/>
      <name val="Arial"/>
      <family val="2"/>
    </font>
    <font>
      <b/>
      <i/>
      <sz val="14"/>
      <color indexed="22"/>
      <name val="Arial"/>
      <family val="2"/>
    </font>
    <font>
      <b/>
      <i/>
      <sz val="12"/>
      <color indexed="23"/>
      <name val="Arial"/>
      <family val="2"/>
    </font>
    <font>
      <b/>
      <sz val="9"/>
      <name val="Tahoma"/>
      <family val="2"/>
    </font>
    <font>
      <b/>
      <sz val="18"/>
      <color indexed="53"/>
      <name val="Arial"/>
      <family val="2"/>
    </font>
    <font>
      <b/>
      <sz val="16"/>
      <color indexed="57"/>
      <name val="Arial"/>
      <family val="2"/>
    </font>
    <font>
      <b/>
      <sz val="14"/>
      <color indexed="13"/>
      <name val="Arial"/>
      <family val="2"/>
    </font>
    <font>
      <sz val="14"/>
      <color indexed="49"/>
      <name val="Arial"/>
      <family val="2"/>
    </font>
    <font>
      <b/>
      <sz val="14"/>
      <color indexed="49"/>
      <name val="Arial"/>
      <family val="2"/>
    </font>
    <font>
      <u val="single"/>
      <sz val="9"/>
      <color indexed="12"/>
      <name val="Arial"/>
      <family val="2"/>
    </font>
    <font>
      <b/>
      <sz val="18"/>
      <color indexed="8"/>
      <name val="Arial"/>
      <family val="2"/>
    </font>
    <font>
      <b/>
      <sz val="18"/>
      <name val="Arial"/>
      <family val="2"/>
    </font>
    <font>
      <b/>
      <sz val="24"/>
      <name val="Arial"/>
      <family val="2"/>
    </font>
    <font>
      <sz val="24"/>
      <name val="Wingdings 3"/>
      <family val="1"/>
    </font>
    <font>
      <b/>
      <sz val="1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7"/>
      <color rgb="FFFF0000"/>
      <name val="Arial"/>
      <family val="2"/>
    </font>
    <font>
      <sz val="10"/>
      <color theme="1"/>
      <name val="Arial"/>
      <family val="2"/>
    </font>
    <font>
      <b/>
      <sz val="12"/>
      <color theme="1"/>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lightDown"/>
    </fill>
    <fill>
      <patternFill patternType="lightUp"/>
    </fill>
    <fill>
      <patternFill patternType="solid">
        <fgColor indexed="9"/>
        <bgColor indexed="64"/>
      </patternFill>
    </fill>
    <fill>
      <patternFill patternType="solid">
        <fgColor indexed="40"/>
        <bgColor indexed="64"/>
      </patternFill>
    </fill>
    <fill>
      <patternFill patternType="lightUp">
        <bgColor indexed="9"/>
      </patternFill>
    </fill>
    <fill>
      <patternFill patternType="solid">
        <fgColor indexed="10"/>
        <bgColor indexed="64"/>
      </patternFill>
    </fill>
    <fill>
      <patternFill patternType="gray0625">
        <bgColor indexed="22"/>
      </patternFill>
    </fill>
    <fill>
      <patternFill patternType="solid">
        <fgColor indexed="55"/>
        <bgColor indexed="64"/>
      </patternFill>
    </fill>
    <fill>
      <patternFill patternType="solid">
        <fgColor indexed="51"/>
        <bgColor indexed="64"/>
      </patternFill>
    </fill>
    <fill>
      <patternFill patternType="solid">
        <fgColor theme="0" tint="-0.24997000396251678"/>
        <bgColor indexed="64"/>
      </patternFill>
    </fill>
    <fill>
      <patternFill patternType="solid">
        <fgColor rgb="FFFFFF99"/>
        <bgColor indexed="64"/>
      </patternFill>
    </fill>
    <fill>
      <patternFill patternType="mediumGray">
        <bgColor indexed="22"/>
      </patternFill>
    </fill>
    <fill>
      <patternFill patternType="gray125">
        <bgColor indexed="22"/>
      </patternFill>
    </fill>
    <fill>
      <patternFill patternType="solid">
        <fgColor indexed="57"/>
        <bgColor indexed="64"/>
      </patternFill>
    </fill>
  </fills>
  <borders count="1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medium"/>
    </border>
    <border>
      <left style="thin"/>
      <right style="thin"/>
      <top style="thin"/>
      <bottom style="thin"/>
    </border>
    <border>
      <left>
        <color indexed="63"/>
      </left>
      <right style="medium"/>
      <top style="medium"/>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style="medium"/>
      <bottom>
        <color indexed="63"/>
      </bottom>
    </border>
    <border>
      <left style="thick"/>
      <right style="medium"/>
      <top style="thick"/>
      <bottom style="thick"/>
    </border>
    <border>
      <left style="medium"/>
      <right style="thick"/>
      <top style="thick"/>
      <bottom style="thick"/>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hair"/>
      <bottom style="medium"/>
    </border>
    <border>
      <left style="hair"/>
      <right style="medium"/>
      <top style="thin"/>
      <bottom style="hair"/>
    </border>
    <border>
      <left style="hair"/>
      <right style="medium"/>
      <top style="hair"/>
      <bottom style="hair"/>
    </border>
    <border>
      <left style="hair"/>
      <right style="medium"/>
      <top style="hair"/>
      <bottom style="thin"/>
    </border>
    <border>
      <left style="medium"/>
      <right style="hair"/>
      <top style="thin"/>
      <bottom style="hair"/>
    </border>
    <border>
      <left style="medium"/>
      <right style="hair"/>
      <top style="hair"/>
      <bottom style="hair"/>
    </border>
    <border>
      <left style="medium"/>
      <right style="hair"/>
      <top style="hair"/>
      <bottom style="thin"/>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hair"/>
      <right style="medium"/>
      <top style="thin"/>
      <bottom style="thin"/>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style="thin"/>
      <top style="hair"/>
      <bottom style="thin"/>
    </border>
    <border>
      <left style="hair"/>
      <right>
        <color indexed="63"/>
      </right>
      <top style="hair"/>
      <bottom style="hair"/>
    </border>
    <border>
      <left style="hair"/>
      <right>
        <color indexed="63"/>
      </right>
      <top>
        <color indexed="63"/>
      </top>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style="medium"/>
      <top>
        <color indexed="63"/>
      </top>
      <bottom style="hair"/>
    </border>
    <border>
      <left>
        <color indexed="63"/>
      </left>
      <right>
        <color indexed="63"/>
      </right>
      <top style="medium"/>
      <bottom style="medium"/>
    </border>
    <border>
      <left style="thin"/>
      <right style="hair"/>
      <top style="hair"/>
      <bottom>
        <color indexed="63"/>
      </bottom>
    </border>
    <border>
      <left>
        <color indexed="63"/>
      </left>
      <right>
        <color indexed="63"/>
      </right>
      <top style="hair"/>
      <bottom style="hair"/>
    </border>
    <border>
      <left>
        <color indexed="63"/>
      </left>
      <right style="medium"/>
      <top style="hair"/>
      <bottom style="hair"/>
    </border>
    <border>
      <left style="hair"/>
      <right style="hair"/>
      <top>
        <color indexed="63"/>
      </top>
      <bottom style="hair"/>
    </border>
    <border>
      <left>
        <color indexed="63"/>
      </left>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color indexed="63"/>
      </right>
      <top style="thin"/>
      <bottom style="thin"/>
    </border>
    <border>
      <left style="thin"/>
      <right style="hair"/>
      <top>
        <color indexed="63"/>
      </top>
      <bottom style="hair"/>
    </border>
    <border>
      <left style="hair"/>
      <right style="thin"/>
      <top>
        <color indexed="63"/>
      </top>
      <bottom style="hair"/>
    </border>
    <border>
      <left>
        <color indexed="63"/>
      </left>
      <right>
        <color indexed="63"/>
      </right>
      <top style="thin"/>
      <bottom style="medium"/>
    </border>
    <border>
      <left style="thin"/>
      <right style="medium"/>
      <top style="thin"/>
      <bottom style="thin"/>
    </border>
    <border>
      <left style="hair"/>
      <right style="medium"/>
      <top style="hair"/>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medium"/>
      <right style="hair"/>
      <top>
        <color indexed="63"/>
      </top>
      <bottom style="hair"/>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hair"/>
    </border>
    <border>
      <left style="hair"/>
      <right style="hair"/>
      <top>
        <color indexed="63"/>
      </top>
      <bottom style="thin"/>
    </border>
    <border>
      <left style="medium"/>
      <right>
        <color indexed="63"/>
      </right>
      <top style="thin"/>
      <bottom style="medium"/>
    </border>
    <border>
      <left>
        <color indexed="63"/>
      </left>
      <right style="hair"/>
      <top>
        <color indexed="63"/>
      </top>
      <bottom style="hair"/>
    </border>
    <border>
      <left style="medium"/>
      <right>
        <color indexed="63"/>
      </right>
      <top style="hair"/>
      <bottom style="hair"/>
    </border>
    <border>
      <left style="medium"/>
      <right>
        <color indexed="63"/>
      </right>
      <top>
        <color indexed="63"/>
      </top>
      <bottom style="hair"/>
    </border>
    <border>
      <left style="medium"/>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hair"/>
      <top style="hair"/>
      <bottom>
        <color indexed="63"/>
      </bottom>
    </border>
    <border>
      <left style="medium"/>
      <right style="thin"/>
      <top style="hair"/>
      <bottom style="hair"/>
    </border>
    <border>
      <left style="thin"/>
      <right style="medium"/>
      <top style="hair"/>
      <bottom style="hair"/>
    </border>
    <border>
      <left style="medium"/>
      <right>
        <color indexed="63"/>
      </right>
      <top style="thin"/>
      <bottom style="thin"/>
    </border>
    <border>
      <left style="hair"/>
      <right style="hair"/>
      <top style="thin"/>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color indexed="63"/>
      </top>
      <bottom>
        <color indexed="63"/>
      </bottom>
    </border>
    <border>
      <left>
        <color indexed="63"/>
      </left>
      <right style="hair"/>
      <top>
        <color indexed="63"/>
      </top>
      <bottom>
        <color indexed="63"/>
      </bottom>
    </border>
    <border>
      <left style="thin"/>
      <right style="thin"/>
      <top style="medium"/>
      <bottom>
        <color indexed="63"/>
      </bottom>
    </border>
    <border>
      <left>
        <color indexed="63"/>
      </left>
      <right style="medium"/>
      <top style="thin"/>
      <bottom style="thin"/>
    </border>
    <border>
      <left>
        <color indexed="63"/>
      </left>
      <right style="thin"/>
      <top style="medium"/>
      <bottom>
        <color indexed="63"/>
      </bottom>
    </border>
    <border>
      <left style="medium"/>
      <right style="thin"/>
      <top style="medium"/>
      <bottom style="hair"/>
    </border>
    <border>
      <left style="thin"/>
      <right style="medium"/>
      <top style="medium"/>
      <bottom style="hair"/>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0"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10" fillId="25" borderId="1" applyNumberFormat="0" applyAlignment="0" applyProtection="0"/>
    <xf numFmtId="0" fontId="111" fillId="25"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112" fillId="26" borderId="2" applyNumberFormat="0" applyAlignment="0" applyProtection="0"/>
    <xf numFmtId="0" fontId="113" fillId="0" borderId="3" applyNumberFormat="0" applyFill="0" applyAlignment="0" applyProtection="0"/>
    <xf numFmtId="0" fontId="114" fillId="0" borderId="0" applyNumberFormat="0" applyFill="0" applyBorder="0" applyAlignment="0" applyProtection="0"/>
    <xf numFmtId="180" fontId="0" fillId="0" borderId="0" applyFont="0" applyFill="0" applyBorder="0" applyAlignment="0" applyProtection="0"/>
    <xf numFmtId="0" fontId="115" fillId="27"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1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117" fillId="30" borderId="0" applyNumberFormat="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123" fillId="0" borderId="0" applyNumberFormat="0" applyFill="0" applyBorder="0" applyAlignment="0" applyProtection="0"/>
    <xf numFmtId="0" fontId="124" fillId="31" borderId="9" applyNumberFormat="0" applyAlignment="0" applyProtection="0"/>
  </cellStyleXfs>
  <cellXfs count="1320">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xf>
    <xf numFmtId="0" fontId="7"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0" fillId="0" borderId="0" xfId="0" applyBorder="1" applyAlignment="1">
      <alignment/>
    </xf>
    <xf numFmtId="0" fontId="0" fillId="0" borderId="0" xfId="0" applyFont="1" applyBorder="1" applyAlignment="1">
      <alignment vertical="top" wrapText="1"/>
    </xf>
    <xf numFmtId="0" fontId="3" fillId="0" borderId="0" xfId="0" applyFont="1" applyAlignment="1">
      <alignment horizontal="left"/>
    </xf>
    <xf numFmtId="0" fontId="5" fillId="0" borderId="0" xfId="0" applyFont="1" applyAlignment="1">
      <alignment horizontal="right"/>
    </xf>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11" fillId="0" borderId="0" xfId="0" applyFont="1" applyAlignment="1">
      <alignment/>
    </xf>
    <xf numFmtId="0" fontId="19" fillId="0" borderId="0" xfId="0" applyFont="1" applyAlignment="1">
      <alignment/>
    </xf>
    <xf numFmtId="0" fontId="8" fillId="32" borderId="10" xfId="0" applyFont="1" applyFill="1" applyBorder="1" applyAlignment="1">
      <alignment horizontal="center" vertical="center" wrapText="1"/>
    </xf>
    <xf numFmtId="0" fontId="21" fillId="0" borderId="0" xfId="0" applyFont="1" applyAlignment="1">
      <alignment/>
    </xf>
    <xf numFmtId="0" fontId="7" fillId="0" borderId="0" xfId="0" applyFont="1" applyAlignment="1">
      <alignment vertical="center"/>
    </xf>
    <xf numFmtId="0" fontId="5" fillId="0" borderId="0" xfId="0" applyFont="1" applyAlignment="1">
      <alignment vertical="top"/>
    </xf>
    <xf numFmtId="0" fontId="10" fillId="0" borderId="0" xfId="0" applyFont="1" applyBorder="1" applyAlignment="1">
      <alignment vertical="top" wrapText="1"/>
    </xf>
    <xf numFmtId="4" fontId="0" fillId="0" borderId="0" xfId="0" applyNumberFormat="1" applyAlignment="1">
      <alignment/>
    </xf>
    <xf numFmtId="4" fontId="10" fillId="0" borderId="0" xfId="0" applyNumberFormat="1" applyFont="1" applyBorder="1" applyAlignment="1">
      <alignment vertical="center"/>
    </xf>
    <xf numFmtId="0" fontId="1" fillId="0" borderId="0" xfId="0" applyFont="1" applyAlignment="1">
      <alignment vertical="center"/>
    </xf>
    <xf numFmtId="4" fontId="0" fillId="0" borderId="0" xfId="0" applyNumberFormat="1" applyAlignment="1">
      <alignment vertical="center"/>
    </xf>
    <xf numFmtId="0" fontId="4" fillId="0" borderId="0" xfId="0" applyFont="1" applyAlignment="1">
      <alignment horizontal="center"/>
    </xf>
    <xf numFmtId="0" fontId="6"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9" fillId="0" borderId="0" xfId="0" applyFont="1" applyAlignment="1">
      <alignment/>
    </xf>
    <xf numFmtId="0" fontId="0" fillId="0" borderId="0" xfId="0" applyAlignment="1">
      <alignment horizontal="right"/>
    </xf>
    <xf numFmtId="0" fontId="1" fillId="0" borderId="0" xfId="0" applyFont="1" applyAlignment="1">
      <alignment wrapText="1"/>
    </xf>
    <xf numFmtId="0" fontId="28" fillId="0" borderId="0" xfId="0" applyFont="1" applyAlignment="1">
      <alignment vertical="center"/>
    </xf>
    <xf numFmtId="0" fontId="2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32" borderId="0" xfId="0" applyFont="1" applyFill="1" applyBorder="1" applyAlignment="1">
      <alignment horizontal="center" vertical="center" wrapText="1"/>
    </xf>
    <xf numFmtId="0" fontId="18" fillId="32" borderId="0" xfId="0" applyFont="1" applyFill="1" applyBorder="1" applyAlignment="1">
      <alignment vertical="center" wrapText="1"/>
    </xf>
    <xf numFmtId="0" fontId="18" fillId="0" borderId="0" xfId="0" applyFont="1" applyFill="1" applyBorder="1" applyAlignment="1">
      <alignment horizontal="left" vertical="center" wrapText="1"/>
    </xf>
    <xf numFmtId="0" fontId="0" fillId="0" borderId="0" xfId="0" applyFill="1" applyAlignment="1">
      <alignment/>
    </xf>
    <xf numFmtId="0" fontId="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0" fillId="32" borderId="0" xfId="0" applyFill="1" applyBorder="1" applyAlignment="1">
      <alignment/>
    </xf>
    <xf numFmtId="0" fontId="10" fillId="32" borderId="0" xfId="0" applyFont="1" applyFill="1" applyBorder="1" applyAlignment="1">
      <alignment vertical="center" wrapText="1"/>
    </xf>
    <xf numFmtId="0" fontId="17" fillId="0" borderId="0" xfId="0" applyFont="1" applyAlignment="1">
      <alignment wrapText="1"/>
    </xf>
    <xf numFmtId="0" fontId="0" fillId="32" borderId="11" xfId="0" applyFill="1" applyBorder="1" applyAlignment="1">
      <alignment/>
    </xf>
    <xf numFmtId="0" fontId="6" fillId="32" borderId="12" xfId="0" applyFont="1" applyFill="1" applyBorder="1" applyAlignment="1">
      <alignment/>
    </xf>
    <xf numFmtId="0" fontId="0" fillId="32" borderId="13" xfId="0" applyFont="1" applyFill="1" applyBorder="1" applyAlignment="1">
      <alignment/>
    </xf>
    <xf numFmtId="0" fontId="0" fillId="32" borderId="14" xfId="0" applyFont="1" applyFill="1" applyBorder="1" applyAlignment="1">
      <alignment/>
    </xf>
    <xf numFmtId="0" fontId="6" fillId="32" borderId="15" xfId="0" applyFont="1" applyFill="1" applyBorder="1" applyAlignment="1">
      <alignment/>
    </xf>
    <xf numFmtId="0" fontId="10" fillId="32" borderId="0" xfId="0" applyFont="1" applyFill="1" applyBorder="1" applyAlignment="1">
      <alignment/>
    </xf>
    <xf numFmtId="0" fontId="0" fillId="32" borderId="16" xfId="0" applyFill="1" applyBorder="1" applyAlignment="1">
      <alignment/>
    </xf>
    <xf numFmtId="0" fontId="6" fillId="32" borderId="17" xfId="0" applyFont="1" applyFill="1" applyBorder="1" applyAlignment="1">
      <alignment/>
    </xf>
    <xf numFmtId="0" fontId="0" fillId="32" borderId="18" xfId="0" applyFill="1" applyBorder="1" applyAlignment="1">
      <alignment/>
    </xf>
    <xf numFmtId="0" fontId="31" fillId="32" borderId="0" xfId="0" applyFont="1" applyFill="1" applyBorder="1" applyAlignment="1">
      <alignment vertical="top" wrapText="1"/>
    </xf>
    <xf numFmtId="0" fontId="11" fillId="32" borderId="15" xfId="0" applyFont="1" applyFill="1" applyBorder="1" applyAlignment="1">
      <alignment wrapText="1"/>
    </xf>
    <xf numFmtId="0" fontId="10" fillId="32" borderId="0" xfId="0" applyFont="1" applyFill="1" applyBorder="1" applyAlignment="1">
      <alignment wrapText="1"/>
    </xf>
    <xf numFmtId="0" fontId="11" fillId="32" borderId="16" xfId="0" applyFont="1" applyFill="1" applyBorder="1" applyAlignment="1">
      <alignment vertical="top" wrapText="1"/>
    </xf>
    <xf numFmtId="0" fontId="4" fillId="32" borderId="15" xfId="0" applyFont="1" applyFill="1" applyBorder="1" applyAlignment="1">
      <alignment vertical="top" wrapText="1"/>
    </xf>
    <xf numFmtId="0" fontId="4" fillId="32" borderId="16" xfId="0" applyFont="1" applyFill="1" applyBorder="1" applyAlignment="1">
      <alignment vertical="top" wrapText="1"/>
    </xf>
    <xf numFmtId="0" fontId="31" fillId="32" borderId="15" xfId="0" applyFont="1" applyFill="1" applyBorder="1" applyAlignment="1">
      <alignment vertical="top" wrapText="1"/>
    </xf>
    <xf numFmtId="0" fontId="31" fillId="32" borderId="16" xfId="0" applyFont="1" applyFill="1" applyBorder="1" applyAlignment="1">
      <alignment vertical="top" wrapText="1"/>
    </xf>
    <xf numFmtId="0" fontId="16" fillId="32" borderId="17" xfId="0" applyFont="1" applyFill="1" applyBorder="1" applyAlignment="1">
      <alignment vertical="top" wrapText="1"/>
    </xf>
    <xf numFmtId="0" fontId="16" fillId="32" borderId="11" xfId="0" applyFont="1" applyFill="1" applyBorder="1" applyAlignment="1">
      <alignment vertical="top" wrapText="1"/>
    </xf>
    <xf numFmtId="0" fontId="16" fillId="32" borderId="18" xfId="0" applyFont="1" applyFill="1" applyBorder="1" applyAlignment="1">
      <alignment vertical="top" wrapText="1"/>
    </xf>
    <xf numFmtId="0" fontId="0" fillId="32" borderId="19" xfId="0" applyFont="1" applyFill="1" applyBorder="1" applyAlignment="1">
      <alignment vertical="center" wrapText="1"/>
    </xf>
    <xf numFmtId="0" fontId="11" fillId="32" borderId="15" xfId="0" applyFont="1" applyFill="1" applyBorder="1" applyAlignment="1">
      <alignment vertical="center" wrapText="1"/>
    </xf>
    <xf numFmtId="0" fontId="11" fillId="32" borderId="16" xfId="0" applyFont="1" applyFill="1" applyBorder="1" applyAlignment="1">
      <alignment vertical="center" wrapText="1"/>
    </xf>
    <xf numFmtId="0" fontId="32" fillId="0" borderId="11" xfId="0" applyFont="1" applyBorder="1" applyAlignment="1">
      <alignment wrapText="1"/>
    </xf>
    <xf numFmtId="0" fontId="32" fillId="32" borderId="0" xfId="0" applyFont="1" applyFill="1" applyBorder="1" applyAlignment="1">
      <alignment wrapText="1"/>
    </xf>
    <xf numFmtId="0" fontId="31" fillId="32" borderId="15" xfId="0" applyFont="1" applyFill="1" applyBorder="1" applyAlignment="1">
      <alignment vertical="center" wrapText="1"/>
    </xf>
    <xf numFmtId="0" fontId="0" fillId="32" borderId="0" xfId="0" applyFont="1" applyFill="1" applyBorder="1" applyAlignment="1">
      <alignment vertical="center" wrapText="1"/>
    </xf>
    <xf numFmtId="0" fontId="31" fillId="32" borderId="16" xfId="0" applyFont="1" applyFill="1" applyBorder="1" applyAlignment="1">
      <alignment vertical="center" wrapText="1"/>
    </xf>
    <xf numFmtId="0" fontId="31" fillId="0" borderId="0" xfId="0" applyFont="1" applyAlignment="1">
      <alignment/>
    </xf>
    <xf numFmtId="14" fontId="0" fillId="0" borderId="0" xfId="0" applyNumberFormat="1" applyFont="1" applyAlignment="1">
      <alignment/>
    </xf>
    <xf numFmtId="0" fontId="34" fillId="0" borderId="0" xfId="0" applyFont="1" applyFill="1" applyBorder="1" applyAlignment="1">
      <alignment horizontal="left"/>
    </xf>
    <xf numFmtId="0" fontId="34" fillId="0" borderId="0" xfId="0" applyFont="1" applyFill="1" applyBorder="1" applyAlignment="1">
      <alignment/>
    </xf>
    <xf numFmtId="0" fontId="0" fillId="0" borderId="0" xfId="0" applyAlignment="1">
      <alignment horizontal="left"/>
    </xf>
    <xf numFmtId="0" fontId="36" fillId="0" borderId="0" xfId="0" applyFont="1" applyFill="1" applyAlignment="1">
      <alignment/>
    </xf>
    <xf numFmtId="0" fontId="40" fillId="0" borderId="11" xfId="0" applyFont="1" applyBorder="1" applyAlignment="1">
      <alignment/>
    </xf>
    <xf numFmtId="0" fontId="0" fillId="0" borderId="11" xfId="0" applyBorder="1" applyAlignment="1">
      <alignment horizontal="center"/>
    </xf>
    <xf numFmtId="2" fontId="0" fillId="0" borderId="0" xfId="0" applyNumberFormat="1" applyAlignment="1">
      <alignment/>
    </xf>
    <xf numFmtId="2" fontId="0" fillId="0" borderId="0" xfId="0" applyNumberFormat="1" applyAlignment="1">
      <alignment horizontal="center"/>
    </xf>
    <xf numFmtId="0" fontId="10" fillId="0" borderId="0" xfId="0" applyFont="1" applyAlignment="1">
      <alignment horizontal="left"/>
    </xf>
    <xf numFmtId="0" fontId="7" fillId="0" borderId="0" xfId="0" applyFont="1" applyBorder="1" applyAlignment="1">
      <alignment/>
    </xf>
    <xf numFmtId="0" fontId="10" fillId="0" borderId="0" xfId="0" applyFont="1" applyAlignment="1">
      <alignment/>
    </xf>
    <xf numFmtId="0" fontId="38" fillId="0" borderId="11" xfId="0" applyFont="1" applyBorder="1" applyAlignment="1">
      <alignment/>
    </xf>
    <xf numFmtId="0" fontId="10" fillId="0" borderId="11" xfId="0" applyFont="1" applyBorder="1" applyAlignment="1">
      <alignment horizontal="center"/>
    </xf>
    <xf numFmtId="0" fontId="5" fillId="33" borderId="0" xfId="0" applyFont="1" applyFill="1" applyAlignment="1">
      <alignment horizontal="left"/>
    </xf>
    <xf numFmtId="0" fontId="0" fillId="33" borderId="0" xfId="0" applyFill="1" applyAlignment="1">
      <alignment horizontal="left"/>
    </xf>
    <xf numFmtId="43" fontId="10" fillId="0" borderId="0" xfId="48" applyFont="1" applyAlignment="1">
      <alignment horizontal="center"/>
    </xf>
    <xf numFmtId="43" fontId="10" fillId="0" borderId="0" xfId="48" applyFont="1" applyAlignment="1">
      <alignment/>
    </xf>
    <xf numFmtId="0" fontId="43" fillId="0" borderId="0" xfId="0" applyFont="1" applyAlignment="1">
      <alignment/>
    </xf>
    <xf numFmtId="0" fontId="11" fillId="34" borderId="0" xfId="0" applyFont="1" applyFill="1" applyBorder="1" applyAlignment="1">
      <alignment horizontal="center"/>
    </xf>
    <xf numFmtId="0" fontId="11" fillId="34" borderId="0" xfId="0" applyFont="1" applyFill="1" applyBorder="1" applyAlignment="1">
      <alignment/>
    </xf>
    <xf numFmtId="49" fontId="11" fillId="34" borderId="0" xfId="0" applyNumberFormat="1" applyFont="1" applyFill="1" applyBorder="1" applyAlignment="1">
      <alignment/>
    </xf>
    <xf numFmtId="0" fontId="11" fillId="32" borderId="0" xfId="0" applyFont="1" applyFill="1" applyBorder="1" applyAlignment="1">
      <alignment horizontal="center"/>
    </xf>
    <xf numFmtId="0" fontId="5" fillId="0" borderId="0" xfId="0" applyFont="1" applyFill="1" applyAlignment="1">
      <alignment/>
    </xf>
    <xf numFmtId="0" fontId="0"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0" fillId="0" borderId="0" xfId="0" applyFill="1" applyAlignment="1">
      <alignment/>
    </xf>
    <xf numFmtId="0" fontId="10" fillId="0" borderId="0" xfId="0" applyFont="1" applyFill="1" applyAlignment="1">
      <alignment/>
    </xf>
    <xf numFmtId="0" fontId="34" fillId="0" borderId="0" xfId="0" applyFont="1" applyFill="1" applyBorder="1" applyAlignment="1">
      <alignment horizontal="center"/>
    </xf>
    <xf numFmtId="0" fontId="0" fillId="0" borderId="0" xfId="0" applyAlignment="1" applyProtection="1">
      <alignment/>
      <protection locked="0"/>
    </xf>
    <xf numFmtId="0" fontId="0" fillId="32" borderId="13" xfId="0" applyFont="1" applyFill="1" applyBorder="1" applyAlignment="1" applyProtection="1">
      <alignment/>
      <protection locked="0"/>
    </xf>
    <xf numFmtId="0" fontId="30" fillId="0" borderId="0" xfId="0" applyFont="1" applyAlignment="1">
      <alignment horizontal="left" vertical="center"/>
    </xf>
    <xf numFmtId="0" fontId="0" fillId="32" borderId="20"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22" fillId="32" borderId="22" xfId="0" applyFont="1" applyFill="1" applyBorder="1" applyAlignment="1">
      <alignment horizontal="center" vertical="center" wrapText="1"/>
    </xf>
    <xf numFmtId="3" fontId="7" fillId="32" borderId="20" xfId="0" applyNumberFormat="1" applyFont="1" applyFill="1" applyBorder="1" applyAlignment="1">
      <alignment horizontal="right" vertical="center" indent="1"/>
    </xf>
    <xf numFmtId="0" fontId="11" fillId="32" borderId="21" xfId="0" applyFont="1" applyFill="1" applyBorder="1" applyAlignment="1">
      <alignment vertical="center" wrapText="1"/>
    </xf>
    <xf numFmtId="10" fontId="10" fillId="0" borderId="0" xfId="0" applyNumberFormat="1" applyFont="1" applyBorder="1" applyAlignment="1">
      <alignment horizontal="center" vertical="center" wrapText="1"/>
    </xf>
    <xf numFmtId="4" fontId="10" fillId="0" borderId="0" xfId="0" applyNumberFormat="1" applyFont="1" applyBorder="1" applyAlignment="1">
      <alignment vertical="center" wrapText="1"/>
    </xf>
    <xf numFmtId="10" fontId="25" fillId="0" borderId="0" xfId="0" applyNumberFormat="1" applyFont="1" applyBorder="1" applyAlignment="1">
      <alignment horizontal="center" vertical="center" wrapText="1"/>
    </xf>
    <xf numFmtId="4" fontId="25" fillId="0" borderId="0" xfId="0" applyNumberFormat="1" applyFont="1" applyBorder="1" applyAlignment="1">
      <alignment horizontal="center" vertical="center" wrapText="1"/>
    </xf>
    <xf numFmtId="43" fontId="0" fillId="0" borderId="0" xfId="48" applyFont="1" applyAlignment="1">
      <alignment/>
    </xf>
    <xf numFmtId="0" fontId="1" fillId="0" borderId="0" xfId="0" applyFont="1" applyBorder="1" applyAlignment="1">
      <alignment wrapText="1"/>
    </xf>
    <xf numFmtId="0" fontId="0" fillId="32" borderId="21" xfId="0" applyFont="1" applyFill="1" applyBorder="1" applyAlignment="1">
      <alignment horizontal="center" vertical="center" wrapText="1"/>
    </xf>
    <xf numFmtId="0" fontId="54" fillId="0" borderId="0" xfId="0" applyFont="1" applyAlignment="1">
      <alignment vertical="center"/>
    </xf>
    <xf numFmtId="0" fontId="0" fillId="32" borderId="23" xfId="0" applyFont="1" applyFill="1" applyBorder="1" applyAlignment="1">
      <alignment horizontal="center" vertical="center" wrapText="1"/>
    </xf>
    <xf numFmtId="0" fontId="21" fillId="0" borderId="0" xfId="0" applyFont="1" applyBorder="1" applyAlignment="1">
      <alignment horizont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 fontId="11" fillId="0" borderId="0" xfId="0" applyNumberFormat="1" applyFont="1" applyFill="1" applyBorder="1" applyAlignment="1">
      <alignment vertical="center" wrapText="1"/>
    </xf>
    <xf numFmtId="0" fontId="0" fillId="0" borderId="0" xfId="0" applyFont="1" applyFill="1" applyBorder="1" applyAlignment="1">
      <alignment/>
    </xf>
    <xf numFmtId="0" fontId="9"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43" fontId="0" fillId="0" borderId="0" xfId="48" applyNumberFormat="1" applyFont="1" applyFill="1" applyBorder="1" applyAlignment="1" applyProtection="1">
      <alignment vertical="center" wrapText="1"/>
      <protection locked="0"/>
    </xf>
    <xf numFmtId="4" fontId="0" fillId="0" borderId="0" xfId="0" applyNumberFormat="1" applyFont="1" applyFill="1" applyBorder="1" applyAlignment="1" applyProtection="1">
      <alignment horizontal="right" vertical="center" wrapText="1" indent="1"/>
      <protection locked="0"/>
    </xf>
    <xf numFmtId="0" fontId="0" fillId="0" borderId="0" xfId="0" applyFill="1" applyBorder="1" applyAlignment="1">
      <alignment/>
    </xf>
    <xf numFmtId="0" fontId="47" fillId="32" borderId="24"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ill="1" applyBorder="1" applyAlignment="1">
      <alignment horizontal="center"/>
    </xf>
    <xf numFmtId="2" fontId="7" fillId="0" borderId="0" xfId="0" applyNumberFormat="1" applyFont="1" applyFill="1" applyBorder="1" applyAlignment="1">
      <alignment/>
    </xf>
    <xf numFmtId="0" fontId="56" fillId="0" borderId="0" xfId="0" applyFont="1" applyFill="1" applyBorder="1" applyAlignment="1">
      <alignment horizontal="center" vertical="top" wrapText="1"/>
    </xf>
    <xf numFmtId="4" fontId="7" fillId="0" borderId="0" xfId="0" applyNumberFormat="1" applyFont="1" applyFill="1" applyBorder="1" applyAlignment="1">
      <alignment/>
    </xf>
    <xf numFmtId="0" fontId="11" fillId="0" borderId="0" xfId="0" applyFont="1" applyFill="1" applyBorder="1" applyAlignment="1">
      <alignment vertical="top" wrapText="1"/>
    </xf>
    <xf numFmtId="0" fontId="11" fillId="0" borderId="0" xfId="0" applyFont="1" applyBorder="1" applyAlignment="1">
      <alignment horizontal="center"/>
    </xf>
    <xf numFmtId="0" fontId="11" fillId="0" borderId="0" xfId="0" applyFont="1" applyFill="1" applyBorder="1" applyAlignment="1">
      <alignment horizontal="center" vertical="top" wrapText="1"/>
    </xf>
    <xf numFmtId="0" fontId="11" fillId="0" borderId="20" xfId="0" applyFont="1" applyBorder="1" applyAlignment="1">
      <alignment horizontal="center"/>
    </xf>
    <xf numFmtId="0" fontId="11" fillId="0" borderId="0" xfId="0" applyFont="1" applyAlignment="1">
      <alignment horizontal="right" indent="2"/>
    </xf>
    <xf numFmtId="0" fontId="57" fillId="0" borderId="0" xfId="0" applyFont="1" applyFill="1" applyBorder="1" applyAlignment="1">
      <alignment horizontal="center" vertical="top" wrapText="1"/>
    </xf>
    <xf numFmtId="0" fontId="9" fillId="0" borderId="0" xfId="0" applyFont="1" applyFill="1" applyBorder="1" applyAlignment="1">
      <alignment horizontal="left"/>
    </xf>
    <xf numFmtId="0" fontId="3" fillId="0" borderId="0" xfId="0" applyFont="1" applyFill="1" applyBorder="1" applyAlignment="1">
      <alignment horizontal="right" indent="2"/>
    </xf>
    <xf numFmtId="0" fontId="11" fillId="0" borderId="25" xfId="0" applyFont="1" applyBorder="1" applyAlignment="1">
      <alignment horizontal="center"/>
    </xf>
    <xf numFmtId="0" fontId="0" fillId="0" borderId="26" xfId="0" applyBorder="1" applyAlignment="1">
      <alignment/>
    </xf>
    <xf numFmtId="0" fontId="0" fillId="0" borderId="27" xfId="0" applyFont="1" applyFill="1" applyBorder="1" applyAlignment="1">
      <alignment vertical="top" wrapText="1"/>
    </xf>
    <xf numFmtId="0" fontId="58" fillId="0" borderId="0" xfId="0" applyFont="1" applyFill="1" applyBorder="1" applyAlignment="1">
      <alignment horizontal="center" vertical="top" wrapText="1"/>
    </xf>
    <xf numFmtId="0" fontId="40" fillId="0" borderId="27" xfId="0" applyFont="1" applyFill="1" applyBorder="1" applyAlignment="1">
      <alignment vertical="top" wrapText="1"/>
    </xf>
    <xf numFmtId="0" fontId="10" fillId="32" borderId="21" xfId="0" applyFont="1" applyFill="1" applyBorder="1" applyAlignment="1">
      <alignment horizontal="center" vertical="center" wrapText="1"/>
    </xf>
    <xf numFmtId="0" fontId="14" fillId="32" borderId="28" xfId="0" applyFont="1" applyFill="1" applyBorder="1" applyAlignment="1">
      <alignment horizontal="center" vertical="center" wrapText="1"/>
    </xf>
    <xf numFmtId="0" fontId="14" fillId="32" borderId="23" xfId="0" applyFont="1" applyFill="1" applyBorder="1" applyAlignment="1">
      <alignment horizontal="center" vertical="center"/>
    </xf>
    <xf numFmtId="0" fontId="14" fillId="32" borderId="28" xfId="0" applyFont="1" applyFill="1" applyBorder="1" applyAlignment="1">
      <alignment horizontal="center" vertical="center"/>
    </xf>
    <xf numFmtId="0" fontId="7" fillId="32" borderId="19" xfId="0" applyFont="1" applyFill="1" applyBorder="1" applyAlignment="1">
      <alignment vertical="center" wrapText="1"/>
    </xf>
    <xf numFmtId="0" fontId="10" fillId="32" borderId="23" xfId="0" applyFont="1" applyFill="1" applyBorder="1" applyAlignment="1">
      <alignment horizontal="center" vertical="center" wrapText="1"/>
    </xf>
    <xf numFmtId="14" fontId="11" fillId="34" borderId="0" xfId="0" applyNumberFormat="1" applyFont="1" applyFill="1" applyBorder="1" applyAlignment="1">
      <alignment horizontal="center"/>
    </xf>
    <xf numFmtId="0" fontId="10" fillId="32" borderId="11"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3" fillId="32" borderId="21" xfId="0" applyFont="1" applyFill="1" applyBorder="1" applyAlignment="1">
      <alignment vertical="center" wrapText="1"/>
    </xf>
    <xf numFmtId="3" fontId="0" fillId="32" borderId="21" xfId="0" applyNumberFormat="1" applyFont="1" applyFill="1" applyBorder="1" applyAlignment="1">
      <alignment horizontal="right" vertical="center" wrapText="1" indent="1"/>
    </xf>
    <xf numFmtId="0" fontId="3" fillId="32" borderId="29" xfId="0" applyFont="1" applyFill="1" applyBorder="1" applyAlignment="1">
      <alignment vertical="center" wrapText="1"/>
    </xf>
    <xf numFmtId="0" fontId="3" fillId="32" borderId="19" xfId="0" applyFont="1" applyFill="1" applyBorder="1" applyAlignment="1">
      <alignment vertical="center" wrapText="1"/>
    </xf>
    <xf numFmtId="0" fontId="8" fillId="32" borderId="21"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0" fillId="32" borderId="21" xfId="0" applyFill="1" applyBorder="1" applyAlignment="1">
      <alignment horizontal="center" vertical="center"/>
    </xf>
    <xf numFmtId="0" fontId="0" fillId="32" borderId="30" xfId="0" applyFill="1" applyBorder="1" applyAlignment="1">
      <alignment horizontal="center" vertical="center"/>
    </xf>
    <xf numFmtId="0" fontId="0" fillId="32" borderId="28" xfId="0" applyFill="1" applyBorder="1" applyAlignment="1">
      <alignment horizontal="center" vertical="center"/>
    </xf>
    <xf numFmtId="0" fontId="0" fillId="32" borderId="23" xfId="0" applyFill="1" applyBorder="1" applyAlignment="1">
      <alignment horizontal="center" vertical="center"/>
    </xf>
    <xf numFmtId="0" fontId="8" fillId="32" borderId="19" xfId="0" applyFont="1" applyFill="1" applyBorder="1" applyAlignment="1">
      <alignment horizontal="center" vertical="center" wrapText="1"/>
    </xf>
    <xf numFmtId="0" fontId="20" fillId="32" borderId="13" xfId="0" applyFont="1" applyFill="1" applyBorder="1" applyAlignment="1" applyProtection="1">
      <alignment horizontal="center"/>
      <protection hidden="1"/>
    </xf>
    <xf numFmtId="0" fontId="20" fillId="32" borderId="11" xfId="0" applyFont="1" applyFill="1" applyBorder="1" applyAlignment="1" applyProtection="1">
      <alignment horizontal="center" vertical="center" wrapText="1"/>
      <protection hidden="1"/>
    </xf>
    <xf numFmtId="0" fontId="20" fillId="32" borderId="11" xfId="0" applyFont="1" applyFill="1" applyBorder="1" applyAlignment="1">
      <alignment horizontal="center" vertical="center" wrapText="1"/>
    </xf>
    <xf numFmtId="0" fontId="20" fillId="32" borderId="21" xfId="0" applyNumberFormat="1" applyFont="1" applyFill="1" applyBorder="1" applyAlignment="1">
      <alignment vertical="center" wrapText="1"/>
    </xf>
    <xf numFmtId="4" fontId="20" fillId="32" borderId="24" xfId="0" applyNumberFormat="1" applyFont="1" applyFill="1" applyBorder="1" applyAlignment="1" applyProtection="1">
      <alignment vertical="center" wrapText="1"/>
      <protection hidden="1"/>
    </xf>
    <xf numFmtId="0" fontId="7" fillId="32" borderId="31"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7" fillId="32" borderId="21" xfId="0" applyFont="1" applyFill="1" applyBorder="1" applyAlignment="1">
      <alignment vertical="center" wrapText="1"/>
    </xf>
    <xf numFmtId="0" fontId="18" fillId="32" borderId="21"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2" fillId="32" borderId="29" xfId="0" applyFont="1" applyFill="1" applyBorder="1" applyAlignment="1">
      <alignment vertical="center" wrapText="1"/>
    </xf>
    <xf numFmtId="4" fontId="11" fillId="0" borderId="0" xfId="0" applyNumberFormat="1" applyFont="1" applyBorder="1" applyAlignment="1">
      <alignment vertical="center" wrapText="1"/>
    </xf>
    <xf numFmtId="0" fontId="0" fillId="0" borderId="29" xfId="0" applyBorder="1" applyAlignment="1">
      <alignment/>
    </xf>
    <xf numFmtId="0" fontId="27" fillId="32" borderId="11" xfId="0" applyFont="1" applyFill="1" applyBorder="1" applyAlignment="1">
      <alignment horizontal="center" vertical="top" wrapText="1"/>
    </xf>
    <xf numFmtId="0" fontId="10" fillId="32" borderId="31" xfId="0" applyFont="1" applyFill="1" applyBorder="1" applyAlignment="1">
      <alignment vertical="center" wrapText="1"/>
    </xf>
    <xf numFmtId="4" fontId="7" fillId="32" borderId="29" xfId="0" applyNumberFormat="1" applyFont="1" applyFill="1" applyBorder="1" applyAlignment="1">
      <alignment vertical="center"/>
    </xf>
    <xf numFmtId="0" fontId="18" fillId="32" borderId="21" xfId="0" applyFont="1" applyFill="1" applyBorder="1" applyAlignment="1">
      <alignment vertical="center" wrapText="1"/>
    </xf>
    <xf numFmtId="0" fontId="18" fillId="32" borderId="19" xfId="0" applyFont="1" applyFill="1" applyBorder="1" applyAlignment="1">
      <alignment horizontal="left" vertical="center" wrapText="1"/>
    </xf>
    <xf numFmtId="0" fontId="18" fillId="32" borderId="29" xfId="0" applyFont="1" applyFill="1" applyBorder="1" applyAlignment="1">
      <alignment vertical="center" wrapText="1"/>
    </xf>
    <xf numFmtId="0" fontId="18" fillId="32" borderId="14" xfId="0" applyFont="1" applyFill="1" applyBorder="1" applyAlignment="1">
      <alignment horizontal="left" vertical="center" wrapText="1"/>
    </xf>
    <xf numFmtId="0" fontId="18" fillId="32" borderId="16" xfId="0" applyFont="1" applyFill="1" applyBorder="1" applyAlignment="1">
      <alignment vertical="center" wrapText="1"/>
    </xf>
    <xf numFmtId="0" fontId="18" fillId="32" borderId="16" xfId="0" applyFont="1" applyFill="1" applyBorder="1" applyAlignment="1">
      <alignment horizontal="center" vertical="center" wrapText="1"/>
    </xf>
    <xf numFmtId="0" fontId="18" fillId="32" borderId="19" xfId="0" applyFont="1" applyFill="1" applyBorder="1" applyAlignment="1">
      <alignment vertical="center" wrapText="1"/>
    </xf>
    <xf numFmtId="0" fontId="10" fillId="0" borderId="0" xfId="0" applyFont="1" applyBorder="1" applyAlignment="1">
      <alignment horizontal="center" vertical="top" wrapText="1"/>
    </xf>
    <xf numFmtId="0" fontId="9" fillId="0" borderId="0" xfId="0" applyFont="1" applyBorder="1" applyAlignment="1">
      <alignment vertical="top" wrapText="1"/>
    </xf>
    <xf numFmtId="0" fontId="11" fillId="0" borderId="0" xfId="0" applyFont="1" applyBorder="1" applyAlignment="1">
      <alignment vertical="top" wrapText="1"/>
    </xf>
    <xf numFmtId="0" fontId="10" fillId="32" borderId="31" xfId="0" applyFont="1" applyFill="1" applyBorder="1" applyAlignment="1">
      <alignment vertical="top" wrapText="1"/>
    </xf>
    <xf numFmtId="0" fontId="3" fillId="32" borderId="21" xfId="0" applyFont="1" applyFill="1" applyBorder="1" applyAlignment="1">
      <alignment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wrapText="1"/>
    </xf>
    <xf numFmtId="0" fontId="11" fillId="32" borderId="19" xfId="0" applyFont="1" applyFill="1" applyBorder="1" applyAlignment="1">
      <alignment vertical="center" wrapText="1"/>
    </xf>
    <xf numFmtId="0" fontId="3" fillId="32" borderId="20" xfId="0" applyFont="1" applyFill="1" applyBorder="1" applyAlignment="1">
      <alignment horizontal="center" vertical="center" wrapText="1"/>
    </xf>
    <xf numFmtId="184" fontId="3" fillId="32" borderId="20" xfId="0" applyNumberFormat="1" applyFont="1" applyFill="1" applyBorder="1" applyAlignment="1">
      <alignment horizontal="center" vertical="center" wrapText="1"/>
    </xf>
    <xf numFmtId="0" fontId="20" fillId="32" borderId="13" xfId="0" applyFont="1" applyFill="1" applyBorder="1" applyAlignment="1">
      <alignment horizontal="center"/>
    </xf>
    <xf numFmtId="0" fontId="9" fillId="32" borderId="29" xfId="0" applyNumberFormat="1" applyFont="1" applyFill="1" applyBorder="1" applyAlignment="1">
      <alignment horizontal="center" vertical="center"/>
    </xf>
    <xf numFmtId="0" fontId="7" fillId="32" borderId="19" xfId="0" applyFont="1" applyFill="1" applyBorder="1" applyAlignment="1">
      <alignment horizontal="center" vertical="center" wrapText="1"/>
    </xf>
    <xf numFmtId="0" fontId="14" fillId="32" borderId="30" xfId="0" applyFont="1" applyFill="1" applyBorder="1" applyAlignment="1">
      <alignment horizontal="center" vertical="center"/>
    </xf>
    <xf numFmtId="0" fontId="59" fillId="0" borderId="0" xfId="0" applyFont="1" applyFill="1" applyBorder="1" applyAlignment="1">
      <alignment/>
    </xf>
    <xf numFmtId="0" fontId="14" fillId="32" borderId="28" xfId="0" applyFont="1" applyFill="1" applyBorder="1" applyAlignment="1">
      <alignment horizontal="center"/>
    </xf>
    <xf numFmtId="0" fontId="14" fillId="32" borderId="28" xfId="0" applyFont="1" applyFill="1" applyBorder="1" applyAlignment="1">
      <alignment horizontal="center" vertical="top" wrapText="1"/>
    </xf>
    <xf numFmtId="10"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7" fillId="35" borderId="20" xfId="0" applyFont="1" applyFill="1" applyBorder="1" applyAlignment="1" applyProtection="1">
      <alignment horizontal="center"/>
      <protection locked="0"/>
    </xf>
    <xf numFmtId="0" fontId="8" fillId="35" borderId="20" xfId="0" applyFont="1" applyFill="1" applyBorder="1" applyAlignment="1">
      <alignment horizontal="center"/>
    </xf>
    <xf numFmtId="0" fontId="2" fillId="32" borderId="31" xfId="0" applyFont="1" applyFill="1" applyBorder="1" applyAlignment="1">
      <alignment horizontal="center" vertical="center"/>
    </xf>
    <xf numFmtId="4" fontId="2" fillId="32" borderId="20" xfId="0" applyNumberFormat="1" applyFont="1" applyFill="1" applyBorder="1" applyAlignment="1">
      <alignment horizontal="right" vertical="center" wrapText="1" indent="1"/>
    </xf>
    <xf numFmtId="0" fontId="0" fillId="0" borderId="32" xfId="0" applyBorder="1" applyAlignment="1">
      <alignment/>
    </xf>
    <xf numFmtId="0" fontId="0" fillId="0" borderId="33" xfId="0" applyBorder="1" applyAlignment="1">
      <alignment/>
    </xf>
    <xf numFmtId="0" fontId="0" fillId="0" borderId="22" xfId="0" applyBorder="1" applyAlignment="1">
      <alignment/>
    </xf>
    <xf numFmtId="0" fontId="0" fillId="0" borderId="34" xfId="0" applyBorder="1" applyAlignment="1">
      <alignment/>
    </xf>
    <xf numFmtId="0" fontId="60" fillId="0" borderId="0" xfId="0" applyFont="1" applyBorder="1" applyAlignment="1">
      <alignment/>
    </xf>
    <xf numFmtId="0" fontId="0" fillId="0" borderId="35" xfId="0" applyBorder="1" applyAlignment="1">
      <alignment/>
    </xf>
    <xf numFmtId="0" fontId="0" fillId="0" borderId="34" xfId="0" applyFill="1" applyBorder="1" applyAlignment="1">
      <alignment/>
    </xf>
    <xf numFmtId="0" fontId="0" fillId="0" borderId="24" xfId="0" applyBorder="1" applyAlignment="1">
      <alignment/>
    </xf>
    <xf numFmtId="0" fontId="0" fillId="0" borderId="36" xfId="0" applyBorder="1" applyAlignment="1">
      <alignment/>
    </xf>
    <xf numFmtId="0" fontId="61" fillId="0" borderId="0" xfId="0" applyFont="1" applyBorder="1" applyAlignment="1">
      <alignment/>
    </xf>
    <xf numFmtId="0" fontId="0" fillId="0" borderId="37" xfId="0" applyBorder="1" applyAlignment="1">
      <alignment/>
    </xf>
    <xf numFmtId="0" fontId="5" fillId="0" borderId="0" xfId="0" applyFont="1" applyBorder="1" applyAlignment="1">
      <alignment/>
    </xf>
    <xf numFmtId="0" fontId="0" fillId="0" borderId="0" xfId="0" applyFont="1" applyAlignment="1">
      <alignment/>
    </xf>
    <xf numFmtId="49" fontId="5" fillId="0" borderId="0" xfId="0" applyNumberFormat="1" applyFont="1" applyBorder="1" applyAlignment="1">
      <alignment/>
    </xf>
    <xf numFmtId="0" fontId="0" fillId="0" borderId="24" xfId="0" applyFont="1" applyBorder="1" applyAlignment="1">
      <alignment/>
    </xf>
    <xf numFmtId="0" fontId="64" fillId="0" borderId="0" xfId="0" applyFont="1" applyAlignment="1">
      <alignment horizontal="right"/>
    </xf>
    <xf numFmtId="0" fontId="9" fillId="0" borderId="38" xfId="0" applyFont="1" applyBorder="1" applyAlignment="1">
      <alignment horizontal="center" vertical="center" wrapText="1"/>
    </xf>
    <xf numFmtId="0" fontId="10" fillId="0" borderId="39" xfId="0" applyFont="1" applyBorder="1" applyAlignment="1">
      <alignmen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8" xfId="0" applyFont="1" applyBorder="1" applyAlignment="1">
      <alignment vertical="center" wrapText="1"/>
    </xf>
    <xf numFmtId="0" fontId="9" fillId="0" borderId="40" xfId="0" applyFont="1" applyBorder="1" applyAlignment="1">
      <alignment vertical="center" wrapText="1"/>
    </xf>
    <xf numFmtId="0" fontId="10" fillId="0" borderId="40" xfId="0" applyFont="1" applyBorder="1" applyAlignment="1">
      <alignment horizontal="center" vertical="center" wrapText="1"/>
    </xf>
    <xf numFmtId="3" fontId="7" fillId="32" borderId="20" xfId="0" applyNumberFormat="1" applyFont="1" applyFill="1" applyBorder="1" applyAlignment="1">
      <alignment horizontal="right" vertical="center" wrapText="1" indent="1"/>
    </xf>
    <xf numFmtId="0" fontId="0" fillId="36" borderId="38" xfId="0"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wrapText="1"/>
      <protection locked="0"/>
    </xf>
    <xf numFmtId="0" fontId="0" fillId="36" borderId="41" xfId="0" applyFont="1" applyFill="1" applyBorder="1" applyAlignment="1" applyProtection="1">
      <alignment horizontal="center" vertical="center" wrapText="1"/>
      <protection locked="0"/>
    </xf>
    <xf numFmtId="0" fontId="20" fillId="0" borderId="40" xfId="0" applyNumberFormat="1" applyFont="1" applyFill="1" applyBorder="1" applyAlignment="1" applyProtection="1">
      <alignment vertical="center" wrapText="1"/>
      <protection hidden="1"/>
    </xf>
    <xf numFmtId="0" fontId="20" fillId="0" borderId="42" xfId="0" applyNumberFormat="1" applyFont="1" applyFill="1" applyBorder="1" applyAlignment="1" applyProtection="1">
      <alignment vertical="center" wrapText="1"/>
      <protection hidden="1"/>
    </xf>
    <xf numFmtId="0" fontId="20" fillId="0" borderId="38" xfId="0" applyNumberFormat="1" applyFont="1" applyFill="1" applyBorder="1" applyAlignment="1">
      <alignment vertical="center" wrapText="1"/>
    </xf>
    <xf numFmtId="0" fontId="20" fillId="0" borderId="40" xfId="0" applyNumberFormat="1" applyFont="1" applyFill="1" applyBorder="1" applyAlignment="1">
      <alignment vertical="center" wrapText="1"/>
    </xf>
    <xf numFmtId="0" fontId="20" fillId="0" borderId="42" xfId="0" applyNumberFormat="1" applyFont="1" applyFill="1" applyBorder="1" applyAlignment="1">
      <alignment vertical="center" wrapText="1"/>
    </xf>
    <xf numFmtId="0" fontId="14" fillId="0" borderId="38" xfId="0" applyFont="1" applyBorder="1" applyAlignment="1">
      <alignment horizontal="center" vertical="center" wrapText="1"/>
    </xf>
    <xf numFmtId="49" fontId="10" fillId="37" borderId="38" xfId="0" applyNumberFormat="1" applyFont="1" applyFill="1" applyBorder="1" applyAlignment="1">
      <alignment horizontal="center" vertical="center" wrapText="1"/>
    </xf>
    <xf numFmtId="0" fontId="10" fillId="37" borderId="43" xfId="0" applyNumberFormat="1" applyFont="1" applyFill="1" applyBorder="1" applyAlignment="1">
      <alignment horizontal="center" vertical="center" wrapText="1"/>
    </xf>
    <xf numFmtId="0" fontId="14" fillId="0" borderId="40" xfId="0" applyFont="1" applyBorder="1" applyAlignment="1">
      <alignment horizontal="center" vertical="center" wrapText="1"/>
    </xf>
    <xf numFmtId="49" fontId="10" fillId="37" borderId="40" xfId="0" applyNumberFormat="1" applyFont="1" applyFill="1" applyBorder="1" applyAlignment="1">
      <alignment horizontal="center" vertical="center" wrapText="1"/>
    </xf>
    <xf numFmtId="49" fontId="10" fillId="37" borderId="44" xfId="0" applyNumberFormat="1" applyFont="1" applyFill="1" applyBorder="1" applyAlignment="1">
      <alignment horizontal="center" vertical="center" wrapText="1"/>
    </xf>
    <xf numFmtId="0" fontId="14" fillId="0" borderId="41" xfId="0" applyFont="1" applyBorder="1" applyAlignment="1">
      <alignment horizontal="center" vertical="center" wrapText="1"/>
    </xf>
    <xf numFmtId="49" fontId="10" fillId="37" borderId="41" xfId="0" applyNumberFormat="1" applyFont="1" applyFill="1" applyBorder="1" applyAlignment="1">
      <alignment horizontal="center" vertical="center" wrapText="1"/>
    </xf>
    <xf numFmtId="49" fontId="10" fillId="37" borderId="45" xfId="0" applyNumberFormat="1" applyFont="1" applyFill="1" applyBorder="1" applyAlignment="1">
      <alignment horizontal="center" vertical="center" wrapText="1"/>
    </xf>
    <xf numFmtId="0" fontId="9" fillId="38" borderId="46" xfId="0" applyFont="1" applyFill="1" applyBorder="1" applyAlignment="1">
      <alignment horizontal="center" vertical="center" wrapText="1"/>
    </xf>
    <xf numFmtId="0" fontId="14" fillId="32" borderId="38" xfId="0" applyFont="1" applyFill="1" applyBorder="1" applyAlignment="1">
      <alignment vertical="top" wrapText="1"/>
    </xf>
    <xf numFmtId="4" fontId="10" fillId="32" borderId="38" xfId="0" applyNumberFormat="1" applyFont="1" applyFill="1" applyBorder="1" applyAlignment="1">
      <alignment horizontal="center" vertical="center" wrapText="1"/>
    </xf>
    <xf numFmtId="0" fontId="9" fillId="38" borderId="47" xfId="0" applyFont="1" applyFill="1" applyBorder="1" applyAlignment="1">
      <alignment horizontal="center" vertical="center" wrapText="1"/>
    </xf>
    <xf numFmtId="0" fontId="14" fillId="32" borderId="40" xfId="0" applyFont="1" applyFill="1" applyBorder="1" applyAlignment="1">
      <alignment vertical="top" wrapText="1"/>
    </xf>
    <xf numFmtId="4" fontId="10" fillId="32" borderId="40" xfId="0" applyNumberFormat="1" applyFont="1" applyFill="1" applyBorder="1" applyAlignment="1">
      <alignment horizontal="center" vertical="center" wrapText="1"/>
    </xf>
    <xf numFmtId="1" fontId="10" fillId="0" borderId="47" xfId="0" applyNumberFormat="1" applyFont="1" applyFill="1" applyBorder="1" applyAlignment="1">
      <alignment horizontal="center" vertical="center" wrapText="1"/>
    </xf>
    <xf numFmtId="0" fontId="9" fillId="32" borderId="40" xfId="0" applyFont="1" applyFill="1" applyBorder="1" applyAlignment="1">
      <alignment horizontal="center" vertical="center" wrapText="1"/>
    </xf>
    <xf numFmtId="3" fontId="8" fillId="32" borderId="40" xfId="0" applyNumberFormat="1" applyFont="1" applyFill="1" applyBorder="1" applyAlignment="1">
      <alignment horizontal="center" vertical="center" wrapText="1"/>
    </xf>
    <xf numFmtId="1" fontId="10" fillId="0" borderId="48" xfId="0" applyNumberFormat="1" applyFont="1" applyFill="1" applyBorder="1" applyAlignment="1">
      <alignment horizontal="center" vertical="center" wrapText="1"/>
    </xf>
    <xf numFmtId="0" fontId="9" fillId="32" borderId="41" xfId="0" applyFont="1" applyFill="1" applyBorder="1" applyAlignment="1">
      <alignment horizontal="center" vertical="center" wrapText="1"/>
    </xf>
    <xf numFmtId="3" fontId="8" fillId="32" borderId="41" xfId="0" applyNumberFormat="1" applyFont="1" applyFill="1" applyBorder="1" applyAlignment="1">
      <alignment horizontal="center" vertical="center" wrapText="1"/>
    </xf>
    <xf numFmtId="0" fontId="14" fillId="32" borderId="41" xfId="0" applyFont="1" applyFill="1" applyBorder="1" applyAlignment="1">
      <alignment vertical="top" wrapText="1"/>
    </xf>
    <xf numFmtId="4" fontId="10" fillId="32" borderId="41" xfId="0" applyNumberFormat="1" applyFont="1" applyFill="1" applyBorder="1" applyAlignment="1">
      <alignment horizontal="center" vertical="center" wrapText="1"/>
    </xf>
    <xf numFmtId="3" fontId="7" fillId="32" borderId="20" xfId="48" applyNumberFormat="1" applyFont="1" applyFill="1" applyBorder="1" applyAlignment="1">
      <alignment horizontal="right" vertical="center" wrapText="1" indent="1"/>
    </xf>
    <xf numFmtId="3" fontId="7" fillId="32" borderId="20" xfId="0" applyNumberFormat="1" applyFont="1" applyFill="1" applyBorder="1" applyAlignment="1">
      <alignment horizontal="center" vertical="center" wrapText="1"/>
    </xf>
    <xf numFmtId="0" fontId="11" fillId="36" borderId="49" xfId="0" applyFont="1" applyFill="1" applyBorder="1" applyAlignment="1" applyProtection="1">
      <alignment vertical="center" wrapText="1"/>
      <protection locked="0"/>
    </xf>
    <xf numFmtId="0" fontId="11" fillId="36" borderId="38" xfId="0" applyFont="1" applyFill="1" applyBorder="1" applyAlignment="1" applyProtection="1">
      <alignment vertical="center" wrapText="1"/>
      <protection locked="0"/>
    </xf>
    <xf numFmtId="4" fontId="11" fillId="36" borderId="38" xfId="0" applyNumberFormat="1" applyFont="1" applyFill="1" applyBorder="1" applyAlignment="1" applyProtection="1">
      <alignment horizontal="right" vertical="center" wrapText="1" indent="1"/>
      <protection locked="0"/>
    </xf>
    <xf numFmtId="0" fontId="11" fillId="36" borderId="39" xfId="0" applyFont="1" applyFill="1" applyBorder="1" applyAlignment="1" applyProtection="1">
      <alignment vertical="center" wrapText="1"/>
      <protection locked="0"/>
    </xf>
    <xf numFmtId="0" fontId="11" fillId="36" borderId="40" xfId="0" applyFont="1" applyFill="1" applyBorder="1" applyAlignment="1" applyProtection="1">
      <alignment vertical="center" wrapText="1"/>
      <protection locked="0"/>
    </xf>
    <xf numFmtId="4" fontId="11" fillId="36" borderId="40" xfId="0" applyNumberFormat="1" applyFont="1" applyFill="1" applyBorder="1" applyAlignment="1" applyProtection="1">
      <alignment horizontal="right" vertical="center" wrapText="1" indent="1"/>
      <protection locked="0"/>
    </xf>
    <xf numFmtId="0" fontId="11" fillId="36" borderId="50" xfId="0" applyFont="1" applyFill="1" applyBorder="1" applyAlignment="1" applyProtection="1">
      <alignment vertical="center" wrapText="1"/>
      <protection locked="0"/>
    </xf>
    <xf numFmtId="0" fontId="11" fillId="36" borderId="41" xfId="0" applyFont="1" applyFill="1" applyBorder="1" applyAlignment="1" applyProtection="1">
      <alignment vertical="center" wrapText="1"/>
      <protection locked="0"/>
    </xf>
    <xf numFmtId="4" fontId="11" fillId="36" borderId="41" xfId="0" applyNumberFormat="1" applyFont="1" applyFill="1" applyBorder="1" applyAlignment="1" applyProtection="1">
      <alignment horizontal="right" vertical="center" wrapText="1" indent="1"/>
      <protection locked="0"/>
    </xf>
    <xf numFmtId="0" fontId="9" fillId="36" borderId="49" xfId="0" applyFont="1" applyFill="1" applyBorder="1" applyAlignment="1" applyProtection="1">
      <alignment horizontal="center" vertical="center" wrapText="1"/>
      <protection locked="0"/>
    </xf>
    <xf numFmtId="43" fontId="0" fillId="36" borderId="38" xfId="48" applyNumberFormat="1" applyFont="1" applyFill="1" applyBorder="1" applyAlignment="1" applyProtection="1">
      <alignment vertical="center" wrapText="1"/>
      <protection locked="0"/>
    </xf>
    <xf numFmtId="4" fontId="0" fillId="36" borderId="51" xfId="0" applyNumberFormat="1" applyFont="1" applyFill="1" applyBorder="1" applyAlignment="1" applyProtection="1">
      <alignment horizontal="right" vertical="center" wrapText="1" indent="1"/>
      <protection locked="0"/>
    </xf>
    <xf numFmtId="0" fontId="9" fillId="36" borderId="39" xfId="0" applyFont="1" applyFill="1" applyBorder="1" applyAlignment="1" applyProtection="1">
      <alignment horizontal="center" vertical="center" wrapText="1"/>
      <protection locked="0"/>
    </xf>
    <xf numFmtId="43" fontId="0" fillId="36" borderId="40" xfId="48" applyNumberFormat="1" applyFont="1" applyFill="1" applyBorder="1" applyAlignment="1" applyProtection="1">
      <alignment vertical="center" wrapText="1"/>
      <protection locked="0"/>
    </xf>
    <xf numFmtId="4" fontId="0" fillId="36" borderId="52" xfId="0" applyNumberFormat="1" applyFont="1" applyFill="1" applyBorder="1" applyAlignment="1" applyProtection="1">
      <alignment horizontal="right" vertical="center" wrapText="1" indent="1"/>
      <protection locked="0"/>
    </xf>
    <xf numFmtId="10" fontId="10" fillId="36" borderId="38" xfId="0" applyNumberFormat="1" applyFont="1" applyFill="1" applyBorder="1" applyAlignment="1" applyProtection="1">
      <alignment horizontal="center" vertical="center" wrapText="1"/>
      <protection locked="0"/>
    </xf>
    <xf numFmtId="4" fontId="10" fillId="36" borderId="38" xfId="0" applyNumberFormat="1" applyFont="1" applyFill="1" applyBorder="1" applyAlignment="1" applyProtection="1">
      <alignment horizontal="right" vertical="center" wrapText="1" indent="1"/>
      <protection locked="0"/>
    </xf>
    <xf numFmtId="10" fontId="10" fillId="36" borderId="40" xfId="0" applyNumberFormat="1" applyFont="1" applyFill="1" applyBorder="1" applyAlignment="1" applyProtection="1">
      <alignment horizontal="center" vertical="center" wrapText="1"/>
      <protection locked="0"/>
    </xf>
    <xf numFmtId="4" fontId="10" fillId="36" borderId="40" xfId="0" applyNumberFormat="1" applyFont="1" applyFill="1" applyBorder="1" applyAlignment="1" applyProtection="1">
      <alignment horizontal="right" vertical="center" wrapText="1" indent="1"/>
      <protection locked="0"/>
    </xf>
    <xf numFmtId="0" fontId="9" fillId="0" borderId="49" xfId="0" applyFont="1" applyBorder="1" applyAlignment="1">
      <alignment vertical="center" wrapText="1"/>
    </xf>
    <xf numFmtId="49" fontId="9" fillId="36" borderId="38" xfId="0" applyNumberFormat="1" applyFont="1" applyFill="1" applyBorder="1" applyAlignment="1" applyProtection="1">
      <alignment horizontal="center" vertical="center" wrapText="1"/>
      <protection locked="0"/>
    </xf>
    <xf numFmtId="4" fontId="9" fillId="39" borderId="38" xfId="0" applyNumberFormat="1" applyFont="1" applyFill="1" applyBorder="1" applyAlignment="1">
      <alignment horizontal="center" vertical="center" wrapText="1"/>
    </xf>
    <xf numFmtId="0" fontId="9" fillId="0" borderId="39" xfId="0" applyFont="1" applyBorder="1" applyAlignment="1">
      <alignment vertical="center" wrapText="1"/>
    </xf>
    <xf numFmtId="49" fontId="9" fillId="36" borderId="40" xfId="0" applyNumberFormat="1" applyFont="1" applyFill="1" applyBorder="1" applyAlignment="1" applyProtection="1">
      <alignment horizontal="center" vertical="center"/>
      <protection locked="0"/>
    </xf>
    <xf numFmtId="4" fontId="9" fillId="39" borderId="40" xfId="0" applyNumberFormat="1" applyFont="1" applyFill="1" applyBorder="1" applyAlignment="1">
      <alignment horizontal="center" vertical="center" wrapText="1"/>
    </xf>
    <xf numFmtId="0" fontId="20" fillId="36" borderId="39" xfId="0" applyFont="1" applyFill="1" applyBorder="1" applyAlignment="1" applyProtection="1">
      <alignment vertical="center" wrapText="1"/>
      <protection locked="0"/>
    </xf>
    <xf numFmtId="0" fontId="20" fillId="0" borderId="40" xfId="0" applyFont="1" applyBorder="1" applyAlignment="1">
      <alignment horizontal="center" vertical="center" wrapText="1"/>
    </xf>
    <xf numFmtId="0" fontId="9" fillId="36" borderId="40" xfId="0" applyFont="1" applyFill="1" applyBorder="1" applyAlignment="1" applyProtection="1">
      <alignment horizontal="center" vertical="center" wrapText="1"/>
      <protection locked="0"/>
    </xf>
    <xf numFmtId="4" fontId="9" fillId="36" borderId="40" xfId="0" applyNumberFormat="1" applyFont="1" applyFill="1" applyBorder="1" applyAlignment="1" applyProtection="1">
      <alignment horizontal="center" vertical="center" wrapText="1"/>
      <protection locked="0"/>
    </xf>
    <xf numFmtId="0" fontId="9" fillId="36" borderId="39" xfId="0" applyFont="1" applyFill="1" applyBorder="1" applyAlignment="1" applyProtection="1">
      <alignment vertical="center" wrapText="1"/>
      <protection locked="0"/>
    </xf>
    <xf numFmtId="0" fontId="9" fillId="0" borderId="50" xfId="0" applyFont="1" applyBorder="1" applyAlignment="1">
      <alignment vertical="center" wrapText="1"/>
    </xf>
    <xf numFmtId="4" fontId="9" fillId="39" borderId="41" xfId="0" applyNumberFormat="1" applyFont="1" applyFill="1" applyBorder="1" applyAlignment="1">
      <alignment horizontal="center" vertical="center" wrapText="1"/>
    </xf>
    <xf numFmtId="0" fontId="9" fillId="0" borderId="38" xfId="0" applyFont="1" applyBorder="1" applyAlignment="1">
      <alignment vertical="center" wrapText="1"/>
    </xf>
    <xf numFmtId="0" fontId="9" fillId="36" borderId="38" xfId="0" applyFont="1" applyFill="1" applyBorder="1" applyAlignment="1" applyProtection="1">
      <alignment horizontal="center" vertical="center"/>
      <protection locked="0"/>
    </xf>
    <xf numFmtId="0" fontId="9" fillId="0" borderId="40" xfId="0" applyFont="1" applyBorder="1" applyAlignment="1">
      <alignment vertical="center" wrapText="1"/>
    </xf>
    <xf numFmtId="0" fontId="9" fillId="36" borderId="40" xfId="0" applyFont="1" applyFill="1" applyBorder="1" applyAlignment="1" applyProtection="1">
      <alignment horizontal="center" vertical="center"/>
      <protection locked="0"/>
    </xf>
    <xf numFmtId="0" fontId="9" fillId="36" borderId="50" xfId="0" applyFont="1" applyFill="1" applyBorder="1" applyAlignment="1" applyProtection="1">
      <alignment vertical="center" wrapText="1"/>
      <protection locked="0"/>
    </xf>
    <xf numFmtId="0" fontId="9" fillId="0" borderId="41" xfId="0" applyFont="1" applyBorder="1" applyAlignment="1">
      <alignment vertical="center" wrapText="1"/>
    </xf>
    <xf numFmtId="0" fontId="9" fillId="36" borderId="41" xfId="0" applyFont="1" applyFill="1" applyBorder="1" applyAlignment="1" applyProtection="1">
      <alignment horizontal="center" vertical="center"/>
      <protection locked="0"/>
    </xf>
    <xf numFmtId="4" fontId="9" fillId="36" borderId="41" xfId="0" applyNumberFormat="1" applyFont="1" applyFill="1" applyBorder="1" applyAlignment="1" applyProtection="1">
      <alignment horizontal="center" vertical="center" wrapText="1"/>
      <protection locked="0"/>
    </xf>
    <xf numFmtId="0" fontId="0" fillId="36" borderId="49" xfId="0" applyFill="1" applyBorder="1" applyAlignment="1" applyProtection="1">
      <alignment/>
      <protection locked="0"/>
    </xf>
    <xf numFmtId="0" fontId="9" fillId="36" borderId="38" xfId="0" applyNumberFormat="1" applyFont="1" applyFill="1" applyBorder="1" applyAlignment="1" applyProtection="1">
      <alignment horizontal="center" vertical="center" wrapText="1"/>
      <protection locked="0"/>
    </xf>
    <xf numFmtId="4" fontId="9" fillId="36" borderId="38" xfId="0" applyNumberFormat="1" applyFont="1" applyFill="1" applyBorder="1" applyAlignment="1" applyProtection="1">
      <alignment horizontal="center" vertical="center" wrapText="1"/>
      <protection locked="0"/>
    </xf>
    <xf numFmtId="0" fontId="9" fillId="36" borderId="41" xfId="0" applyFont="1" applyFill="1" applyBorder="1" applyAlignment="1" applyProtection="1">
      <alignment horizontal="center" vertical="center" wrapText="1"/>
      <protection locked="0"/>
    </xf>
    <xf numFmtId="0" fontId="9" fillId="36" borderId="49" xfId="0" applyFont="1" applyFill="1" applyBorder="1" applyAlignment="1" applyProtection="1">
      <alignment vertical="center" wrapText="1"/>
      <protection locked="0"/>
    </xf>
    <xf numFmtId="0" fontId="9" fillId="36" borderId="41" xfId="0" applyFont="1" applyFill="1" applyBorder="1" applyAlignment="1" applyProtection="1">
      <alignment horizontal="center" vertical="center" wrapText="1"/>
      <protection locked="0"/>
    </xf>
    <xf numFmtId="0" fontId="9" fillId="36" borderId="38" xfId="0" applyFont="1" applyFill="1" applyBorder="1" applyAlignment="1" applyProtection="1">
      <alignment horizontal="center" vertical="center" wrapText="1"/>
      <protection locked="0"/>
    </xf>
    <xf numFmtId="49" fontId="9" fillId="36" borderId="38" xfId="0" applyNumberFormat="1" applyFont="1" applyFill="1" applyBorder="1" applyAlignment="1" applyProtection="1">
      <alignment horizontal="center" vertical="center"/>
      <protection locked="0"/>
    </xf>
    <xf numFmtId="49" fontId="9" fillId="38" borderId="41" xfId="0" applyNumberFormat="1" applyFont="1" applyFill="1" applyBorder="1" applyAlignment="1">
      <alignment horizontal="center" vertical="center"/>
    </xf>
    <xf numFmtId="0" fontId="9" fillId="0" borderId="38" xfId="0" applyFont="1" applyBorder="1" applyAlignment="1">
      <alignment horizontal="center" vertical="center" wrapText="1"/>
    </xf>
    <xf numFmtId="43" fontId="9" fillId="36" borderId="38" xfId="48" applyFont="1" applyFill="1" applyBorder="1" applyAlignment="1" applyProtection="1">
      <alignment horizontal="center" vertical="center" wrapText="1"/>
      <protection locked="0"/>
    </xf>
    <xf numFmtId="0" fontId="9" fillId="0" borderId="40" xfId="0" applyFont="1" applyBorder="1" applyAlignment="1">
      <alignment horizontal="center" vertical="center" wrapText="1"/>
    </xf>
    <xf numFmtId="43" fontId="9" fillId="36" borderId="40" xfId="48" applyFont="1" applyFill="1" applyBorder="1" applyAlignment="1" applyProtection="1">
      <alignment horizontal="center" vertical="center" wrapText="1"/>
      <protection locked="0"/>
    </xf>
    <xf numFmtId="0" fontId="0" fillId="36" borderId="39" xfId="0" applyFill="1" applyBorder="1" applyAlignment="1" applyProtection="1">
      <alignment/>
      <protection locked="0"/>
    </xf>
    <xf numFmtId="0" fontId="9" fillId="36" borderId="40" xfId="0" applyFont="1" applyFill="1" applyBorder="1" applyAlignment="1" applyProtection="1">
      <alignment horizontal="center" vertical="center" wrapText="1"/>
      <protection locked="0"/>
    </xf>
    <xf numFmtId="0" fontId="9" fillId="0" borderId="41" xfId="0" applyFont="1" applyBorder="1" applyAlignment="1">
      <alignment horizontal="center" vertical="center" wrapText="1"/>
    </xf>
    <xf numFmtId="4" fontId="9" fillId="38" borderId="41" xfId="0" applyNumberFormat="1" applyFont="1" applyFill="1" applyBorder="1" applyAlignment="1">
      <alignment vertical="center" wrapText="1"/>
    </xf>
    <xf numFmtId="0" fontId="9" fillId="0" borderId="41" xfId="0" applyFont="1" applyFill="1" applyBorder="1" applyAlignment="1">
      <alignment horizontal="center" vertical="center" wrapText="1"/>
    </xf>
    <xf numFmtId="4" fontId="9" fillId="38" borderId="41" xfId="0" applyNumberFormat="1" applyFont="1" applyFill="1" applyBorder="1" applyAlignment="1">
      <alignment horizontal="center" vertical="center" wrapText="1"/>
    </xf>
    <xf numFmtId="0" fontId="9" fillId="0" borderId="41" xfId="0" applyFont="1" applyBorder="1" applyAlignment="1">
      <alignment horizontal="right" vertical="center" wrapText="1"/>
    </xf>
    <xf numFmtId="0" fontId="39" fillId="36" borderId="50" xfId="0" applyFont="1" applyFill="1" applyBorder="1" applyAlignment="1" applyProtection="1">
      <alignment vertical="center" wrapText="1"/>
      <protection locked="0"/>
    </xf>
    <xf numFmtId="0" fontId="14" fillId="0" borderId="39" xfId="0" applyFont="1" applyBorder="1" applyAlignment="1">
      <alignment vertical="center" wrapText="1"/>
    </xf>
    <xf numFmtId="0" fontId="9" fillId="0" borderId="41" xfId="0" applyFont="1" applyFill="1" applyBorder="1" applyAlignment="1" applyProtection="1">
      <alignment horizontal="center" vertical="center" wrapText="1"/>
      <protection/>
    </xf>
    <xf numFmtId="0" fontId="10" fillId="36" borderId="40" xfId="0" applyFont="1" applyFill="1" applyBorder="1" applyAlignment="1" applyProtection="1">
      <alignment horizontal="center" vertical="center" wrapText="1"/>
      <protection locked="0"/>
    </xf>
    <xf numFmtId="4" fontId="10" fillId="39" borderId="40" xfId="0" applyNumberFormat="1" applyFont="1" applyFill="1" applyBorder="1" applyAlignment="1">
      <alignment horizontal="center" vertical="center" wrapText="1"/>
    </xf>
    <xf numFmtId="2" fontId="10" fillId="39" borderId="40" xfId="0" applyNumberFormat="1" applyFont="1" applyFill="1" applyBorder="1" applyAlignment="1">
      <alignment horizontal="center" vertical="center" wrapText="1"/>
    </xf>
    <xf numFmtId="0" fontId="10" fillId="1" borderId="40" xfId="0" applyFont="1" applyFill="1" applyBorder="1" applyAlignment="1">
      <alignment horizontal="center" vertical="center" wrapText="1"/>
    </xf>
    <xf numFmtId="4" fontId="10" fillId="36" borderId="40" xfId="0" applyNumberFormat="1" applyFont="1" applyFill="1" applyBorder="1" applyAlignment="1" applyProtection="1">
      <alignment horizontal="center" vertical="center" wrapText="1"/>
      <protection locked="0"/>
    </xf>
    <xf numFmtId="0" fontId="22" fillId="0" borderId="40" xfId="0" applyFont="1" applyBorder="1" applyAlignment="1">
      <alignment horizontal="center" vertical="center" wrapText="1"/>
    </xf>
    <xf numFmtId="4" fontId="10" fillId="0" borderId="40" xfId="0" applyNumberFormat="1" applyFont="1" applyFill="1" applyBorder="1" applyAlignment="1">
      <alignment horizontal="center" vertical="center" wrapText="1"/>
    </xf>
    <xf numFmtId="0" fontId="7" fillId="0" borderId="19" xfId="0" applyFont="1" applyBorder="1" applyAlignment="1">
      <alignment horizontal="center" vertical="center"/>
    </xf>
    <xf numFmtId="43" fontId="7" fillId="40" borderId="20" xfId="48" applyFont="1" applyFill="1" applyBorder="1" applyAlignment="1" applyProtection="1">
      <alignment horizontal="right" vertical="center" indent="1"/>
      <protection locked="0"/>
    </xf>
    <xf numFmtId="0" fontId="9" fillId="32" borderId="53" xfId="0" applyFont="1" applyFill="1" applyBorder="1" applyAlignment="1">
      <alignment/>
    </xf>
    <xf numFmtId="0" fontId="9" fillId="32" borderId="54" xfId="0" applyFont="1" applyFill="1" applyBorder="1" applyAlignment="1">
      <alignment horizontal="center"/>
    </xf>
    <xf numFmtId="0" fontId="9" fillId="32" borderId="54" xfId="0" applyFont="1" applyFill="1" applyBorder="1" applyAlignment="1">
      <alignment/>
    </xf>
    <xf numFmtId="0" fontId="0" fillId="32" borderId="54" xfId="0" applyFill="1" applyBorder="1" applyAlignment="1">
      <alignment/>
    </xf>
    <xf numFmtId="0" fontId="0" fillId="32" borderId="55" xfId="0" applyFill="1" applyBorder="1" applyAlignment="1">
      <alignment/>
    </xf>
    <xf numFmtId="0" fontId="8" fillId="32" borderId="56" xfId="0" applyFont="1" applyFill="1" applyBorder="1" applyAlignment="1">
      <alignment horizontal="center" vertical="top" wrapText="1"/>
    </xf>
    <xf numFmtId="0" fontId="8" fillId="32" borderId="57" xfId="0" applyFont="1" applyFill="1" applyBorder="1" applyAlignment="1">
      <alignment horizontal="center" vertical="top" wrapText="1"/>
    </xf>
    <xf numFmtId="0" fontId="0" fillId="32" borderId="32" xfId="0" applyFill="1" applyBorder="1" applyAlignment="1">
      <alignment/>
    </xf>
    <xf numFmtId="0" fontId="0" fillId="32" borderId="33" xfId="0" applyFill="1" applyBorder="1" applyAlignment="1">
      <alignment/>
    </xf>
    <xf numFmtId="0" fontId="40" fillId="32" borderId="33" xfId="0" applyFont="1" applyFill="1" applyBorder="1" applyAlignment="1">
      <alignment/>
    </xf>
    <xf numFmtId="0" fontId="0" fillId="32" borderId="22" xfId="0" applyFill="1" applyBorder="1" applyAlignment="1">
      <alignment/>
    </xf>
    <xf numFmtId="0" fontId="27" fillId="32" borderId="58" xfId="0" applyFont="1" applyFill="1" applyBorder="1" applyAlignment="1">
      <alignment horizontal="center" vertical="top" wrapText="1"/>
    </xf>
    <xf numFmtId="0" fontId="10" fillId="0" borderId="59" xfId="0" applyFont="1" applyBorder="1" applyAlignment="1">
      <alignment vertical="center" wrapText="1"/>
    </xf>
    <xf numFmtId="0" fontId="10" fillId="0" borderId="60" xfId="0" applyFont="1" applyBorder="1" applyAlignment="1">
      <alignment horizontal="center" vertical="center" wrapText="1"/>
    </xf>
    <xf numFmtId="0" fontId="10" fillId="36" borderId="60" xfId="0" applyFont="1" applyFill="1" applyBorder="1" applyAlignment="1" applyProtection="1">
      <alignment horizontal="center" vertical="center" wrapText="1"/>
      <protection locked="0"/>
    </xf>
    <xf numFmtId="0" fontId="9" fillId="0" borderId="60" xfId="0" applyFont="1" applyBorder="1" applyAlignment="1">
      <alignment horizontal="center" vertical="center" wrapText="1"/>
    </xf>
    <xf numFmtId="4" fontId="10" fillId="39" borderId="60" xfId="0" applyNumberFormat="1" applyFont="1" applyFill="1" applyBorder="1" applyAlignment="1">
      <alignment horizontal="center" vertical="center" wrapText="1"/>
    </xf>
    <xf numFmtId="3" fontId="10" fillId="39" borderId="61" xfId="0" applyNumberFormat="1" applyFont="1" applyFill="1" applyBorder="1" applyAlignment="1">
      <alignment horizontal="right" vertical="center" wrapText="1" indent="1"/>
    </xf>
    <xf numFmtId="0" fontId="10" fillId="0" borderId="47" xfId="0" applyFont="1" applyBorder="1" applyAlignment="1">
      <alignment vertical="center" wrapText="1"/>
    </xf>
    <xf numFmtId="3" fontId="10" fillId="39" borderId="44" xfId="0" applyNumberFormat="1" applyFont="1" applyFill="1" applyBorder="1" applyAlignment="1">
      <alignment horizontal="right" vertical="center" wrapText="1" indent="1"/>
    </xf>
    <xf numFmtId="0" fontId="10" fillId="36" borderId="62" xfId="0" applyFont="1" applyFill="1" applyBorder="1" applyAlignment="1" applyProtection="1">
      <alignment vertical="center" wrapText="1"/>
      <protection locked="0"/>
    </xf>
    <xf numFmtId="0" fontId="10" fillId="1" borderId="42" xfId="0" applyFont="1" applyFill="1" applyBorder="1" applyAlignment="1">
      <alignment horizontal="center" vertical="center" wrapText="1"/>
    </xf>
    <xf numFmtId="0" fontId="10" fillId="36" borderId="42" xfId="0" applyFont="1" applyFill="1" applyBorder="1" applyAlignment="1" applyProtection="1">
      <alignment horizontal="center" vertical="center" wrapText="1"/>
      <protection locked="0"/>
    </xf>
    <xf numFmtId="0" fontId="9" fillId="0" borderId="42" xfId="0" applyFont="1" applyBorder="1" applyAlignment="1">
      <alignment horizontal="center" vertical="center" wrapText="1"/>
    </xf>
    <xf numFmtId="4" fontId="10" fillId="36" borderId="42" xfId="0" applyNumberFormat="1" applyFont="1" applyFill="1" applyBorder="1" applyAlignment="1" applyProtection="1">
      <alignment horizontal="center" vertical="center" wrapText="1"/>
      <protection locked="0"/>
    </xf>
    <xf numFmtId="3" fontId="10" fillId="39" borderId="63" xfId="0" applyNumberFormat="1" applyFont="1" applyFill="1" applyBorder="1" applyAlignment="1">
      <alignment horizontal="right" vertical="center" wrapText="1" indent="1"/>
    </xf>
    <xf numFmtId="0" fontId="10" fillId="36" borderId="47" xfId="0" applyFont="1" applyFill="1" applyBorder="1" applyAlignment="1" applyProtection="1">
      <alignment vertical="center" wrapText="1"/>
      <protection locked="0"/>
    </xf>
    <xf numFmtId="0" fontId="38" fillId="0" borderId="62" xfId="0" applyFont="1" applyFill="1" applyBorder="1" applyAlignment="1">
      <alignment vertical="center" wrapText="1"/>
    </xf>
    <xf numFmtId="0" fontId="10" fillId="0" borderId="42" xfId="0" applyFont="1" applyBorder="1" applyAlignment="1">
      <alignment horizontal="center" vertical="center" wrapText="1"/>
    </xf>
    <xf numFmtId="0" fontId="10" fillId="38" borderId="42" xfId="0" applyFont="1" applyFill="1" applyBorder="1" applyAlignment="1" quotePrefix="1">
      <alignment vertical="center" wrapText="1"/>
    </xf>
    <xf numFmtId="0" fontId="10" fillId="41" borderId="42" xfId="0" applyFont="1" applyFill="1" applyBorder="1" applyAlignment="1" quotePrefix="1">
      <alignment horizontal="right" vertical="center" wrapText="1"/>
    </xf>
    <xf numFmtId="2" fontId="10" fillId="39" borderId="60" xfId="0" applyNumberFormat="1" applyFont="1" applyFill="1" applyBorder="1" applyAlignment="1">
      <alignment horizontal="center" vertical="center" wrapText="1"/>
    </xf>
    <xf numFmtId="0" fontId="14" fillId="0" borderId="60" xfId="0" applyFont="1" applyBorder="1" applyAlignment="1">
      <alignment horizontal="center" vertical="center" wrapText="1"/>
    </xf>
    <xf numFmtId="0" fontId="10" fillId="0" borderId="47" xfId="0" applyFont="1" applyBorder="1" applyAlignment="1">
      <alignment horizontal="left" vertical="center" wrapText="1"/>
    </xf>
    <xf numFmtId="0" fontId="10" fillId="0" borderId="62" xfId="0" applyFont="1" applyBorder="1" applyAlignment="1">
      <alignment horizontal="left" vertical="center" wrapText="1"/>
    </xf>
    <xf numFmtId="0" fontId="22" fillId="0" borderId="42" xfId="0" applyFont="1" applyBorder="1" applyAlignment="1">
      <alignment horizontal="center" vertical="center" wrapText="1"/>
    </xf>
    <xf numFmtId="4" fontId="10" fillId="0" borderId="42" xfId="0" applyNumberFormat="1" applyFont="1" applyFill="1" applyBorder="1" applyAlignment="1">
      <alignment horizontal="center" vertical="center" wrapText="1"/>
    </xf>
    <xf numFmtId="3" fontId="10" fillId="0" borderId="44" xfId="0" applyNumberFormat="1" applyFont="1" applyFill="1" applyBorder="1" applyAlignment="1">
      <alignment horizontal="right" vertical="center" wrapText="1" indent="1"/>
    </xf>
    <xf numFmtId="4" fontId="10" fillId="36" borderId="60" xfId="0" applyNumberFormat="1" applyFont="1" applyFill="1" applyBorder="1" applyAlignment="1" applyProtection="1">
      <alignment horizontal="center" vertical="center" wrapText="1"/>
      <protection locked="0"/>
    </xf>
    <xf numFmtId="3" fontId="10" fillId="0" borderId="61" xfId="0" applyNumberFormat="1" applyFont="1" applyFill="1" applyBorder="1" applyAlignment="1">
      <alignment horizontal="right" vertical="center" wrapText="1" indent="1"/>
    </xf>
    <xf numFmtId="4" fontId="10" fillId="36" borderId="42" xfId="0" applyNumberFormat="1" applyFont="1" applyFill="1" applyBorder="1" applyAlignment="1" applyProtection="1">
      <alignment vertical="center" wrapText="1"/>
      <protection locked="0"/>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4" xfId="0" applyFont="1" applyFill="1" applyBorder="1" applyAlignment="1">
      <alignment horizontal="center" vertical="center" wrapText="1"/>
    </xf>
    <xf numFmtId="0" fontId="14"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9" fillId="0" borderId="64" xfId="0" applyFont="1" applyBorder="1" applyAlignment="1">
      <alignment horizontal="center" vertical="center" wrapText="1"/>
    </xf>
    <xf numFmtId="0" fontId="10" fillId="0" borderId="64" xfId="0" applyFont="1" applyBorder="1" applyAlignment="1">
      <alignment horizontal="center" vertical="center" wrapText="1"/>
    </xf>
    <xf numFmtId="0" fontId="9" fillId="0" borderId="40" xfId="0" applyFont="1" applyBorder="1" applyAlignment="1">
      <alignment vertical="center"/>
    </xf>
    <xf numFmtId="0" fontId="9" fillId="0" borderId="52" xfId="0" applyFont="1" applyFill="1" applyBorder="1" applyAlignment="1">
      <alignment vertical="center" wrapText="1"/>
    </xf>
    <xf numFmtId="0" fontId="1" fillId="32" borderId="49" xfId="0" applyFont="1" applyFill="1" applyBorder="1" applyAlignment="1">
      <alignment vertical="center" wrapText="1"/>
    </xf>
    <xf numFmtId="184" fontId="11" fillId="32" borderId="38" xfId="0" applyNumberFormat="1" applyFont="1" applyFill="1" applyBorder="1" applyAlignment="1">
      <alignment horizontal="center" vertical="center" wrapText="1"/>
    </xf>
    <xf numFmtId="0" fontId="0" fillId="32" borderId="51" xfId="0" applyFont="1" applyFill="1" applyBorder="1" applyAlignment="1">
      <alignment horizontal="center" vertical="center" wrapText="1"/>
    </xf>
    <xf numFmtId="0" fontId="1" fillId="32" borderId="39" xfId="0" applyFont="1" applyFill="1" applyBorder="1" applyAlignment="1">
      <alignment vertical="center" wrapText="1"/>
    </xf>
    <xf numFmtId="184" fontId="11" fillId="32" borderId="40" xfId="0" applyNumberFormat="1" applyFont="1" applyFill="1" applyBorder="1" applyAlignment="1">
      <alignment horizontal="center" vertical="center" wrapText="1"/>
    </xf>
    <xf numFmtId="0" fontId="0" fillId="32" borderId="52" xfId="0" applyFont="1" applyFill="1" applyBorder="1" applyAlignment="1">
      <alignment horizontal="center" vertical="center" wrapText="1"/>
    </xf>
    <xf numFmtId="0" fontId="0" fillId="32" borderId="39" xfId="0" applyFont="1" applyFill="1" applyBorder="1" applyAlignment="1">
      <alignment vertical="center" wrapText="1"/>
    </xf>
    <xf numFmtId="14" fontId="0" fillId="32" borderId="40" xfId="0" applyNumberFormat="1"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65" xfId="0" applyFont="1" applyFill="1" applyBorder="1" applyAlignment="1">
      <alignment vertical="center" wrapText="1"/>
    </xf>
    <xf numFmtId="184" fontId="11" fillId="32" borderId="65" xfId="0" applyNumberFormat="1" applyFont="1" applyFill="1" applyBorder="1" applyAlignment="1">
      <alignment horizontal="center" vertical="center" wrapText="1"/>
    </xf>
    <xf numFmtId="0" fontId="0" fillId="32" borderId="66" xfId="0" applyFont="1" applyFill="1" applyBorder="1" applyAlignment="1">
      <alignment horizontal="center" vertical="center" wrapText="1"/>
    </xf>
    <xf numFmtId="184" fontId="11" fillId="32" borderId="51" xfId="0" applyNumberFormat="1" applyFont="1" applyFill="1" applyBorder="1" applyAlignment="1">
      <alignment horizontal="center" vertical="center" wrapText="1"/>
    </xf>
    <xf numFmtId="184" fontId="11" fillId="32" borderId="52" xfId="0" applyNumberFormat="1" applyFont="1" applyFill="1" applyBorder="1" applyAlignment="1">
      <alignment horizontal="center" vertical="center" wrapText="1"/>
    </xf>
    <xf numFmtId="0" fontId="0" fillId="32" borderId="39" xfId="0" applyFont="1" applyFill="1" applyBorder="1" applyAlignment="1">
      <alignment horizontal="center" vertical="center" wrapText="1"/>
    </xf>
    <xf numFmtId="2" fontId="11" fillId="32" borderId="52" xfId="0" applyNumberFormat="1" applyFont="1" applyFill="1" applyBorder="1" applyAlignment="1">
      <alignment horizontal="center" vertical="center" wrapText="1"/>
    </xf>
    <xf numFmtId="0" fontId="0" fillId="32" borderId="50" xfId="0" applyFont="1" applyFill="1" applyBorder="1" applyAlignment="1">
      <alignment horizontal="center" vertical="center" wrapText="1"/>
    </xf>
    <xf numFmtId="2" fontId="11" fillId="32" borderId="66" xfId="0" applyNumberFormat="1" applyFont="1" applyFill="1" applyBorder="1" applyAlignment="1">
      <alignment horizontal="center" vertical="center" wrapText="1"/>
    </xf>
    <xf numFmtId="0" fontId="11" fillId="32" borderId="38" xfId="0" applyFont="1" applyFill="1" applyBorder="1" applyAlignment="1">
      <alignment vertical="center" wrapText="1"/>
    </xf>
    <xf numFmtId="0" fontId="11" fillId="32" borderId="40" xfId="0" applyFont="1" applyFill="1" applyBorder="1" applyAlignment="1">
      <alignment vertical="center" wrapText="1"/>
    </xf>
    <xf numFmtId="0" fontId="10" fillId="32" borderId="39" xfId="0" applyFont="1" applyFill="1" applyBorder="1" applyAlignment="1">
      <alignment vertical="center" wrapText="1"/>
    </xf>
    <xf numFmtId="0" fontId="11" fillId="32" borderId="41" xfId="0" applyFont="1" applyFill="1" applyBorder="1" applyAlignment="1">
      <alignment vertical="center" wrapText="1"/>
    </xf>
    <xf numFmtId="184" fontId="11" fillId="32" borderId="66" xfId="0" applyNumberFormat="1" applyFont="1" applyFill="1" applyBorder="1" applyAlignment="1">
      <alignment horizontal="center" vertical="center" wrapText="1"/>
    </xf>
    <xf numFmtId="0" fontId="11" fillId="32" borderId="39" xfId="0" applyFont="1" applyFill="1" applyBorder="1" applyAlignment="1">
      <alignment vertical="center" wrapText="1"/>
    </xf>
    <xf numFmtId="183" fontId="9" fillId="39" borderId="51" xfId="48" applyNumberFormat="1" applyFont="1" applyFill="1" applyBorder="1" applyAlignment="1">
      <alignment horizontal="right" vertical="center" wrapText="1" indent="1"/>
    </xf>
    <xf numFmtId="183" fontId="9" fillId="39" borderId="52" xfId="48" applyNumberFormat="1" applyFont="1" applyFill="1" applyBorder="1" applyAlignment="1">
      <alignment horizontal="right" vertical="center" wrapText="1" indent="1"/>
    </xf>
    <xf numFmtId="183" fontId="8" fillId="32" borderId="21" xfId="48" applyNumberFormat="1" applyFont="1" applyFill="1" applyBorder="1" applyAlignment="1">
      <alignment horizontal="right" vertical="center" wrapText="1" indent="1"/>
    </xf>
    <xf numFmtId="183" fontId="7" fillId="35" borderId="36" xfId="48" applyNumberFormat="1" applyFont="1" applyFill="1" applyBorder="1" applyAlignment="1">
      <alignment vertical="center" wrapText="1"/>
    </xf>
    <xf numFmtId="183" fontId="7" fillId="32" borderId="36" xfId="48" applyNumberFormat="1" applyFont="1" applyFill="1" applyBorder="1" applyAlignment="1">
      <alignment vertical="center" wrapText="1"/>
    </xf>
    <xf numFmtId="183" fontId="8" fillId="32" borderId="18" xfId="48" applyNumberFormat="1" applyFont="1" applyFill="1" applyBorder="1" applyAlignment="1">
      <alignment vertical="center" wrapText="1"/>
    </xf>
    <xf numFmtId="183" fontId="8" fillId="32" borderId="21" xfId="48" applyNumberFormat="1" applyFont="1" applyFill="1" applyBorder="1" applyAlignment="1">
      <alignment vertical="center" wrapText="1"/>
    </xf>
    <xf numFmtId="3" fontId="18" fillId="32" borderId="20" xfId="48" applyNumberFormat="1" applyFont="1" applyFill="1" applyBorder="1" applyAlignment="1">
      <alignment horizontal="center" vertical="center" wrapText="1"/>
    </xf>
    <xf numFmtId="3" fontId="3" fillId="0" borderId="0" xfId="48" applyNumberFormat="1" applyFont="1" applyBorder="1" applyAlignment="1">
      <alignment horizontal="center"/>
    </xf>
    <xf numFmtId="3" fontId="45" fillId="32" borderId="20" xfId="48" applyNumberFormat="1" applyFont="1" applyFill="1" applyBorder="1" applyAlignment="1">
      <alignment horizontal="center"/>
    </xf>
    <xf numFmtId="3" fontId="3" fillId="32" borderId="20" xfId="48" applyNumberFormat="1" applyFont="1" applyFill="1" applyBorder="1" applyAlignment="1">
      <alignment horizontal="center"/>
    </xf>
    <xf numFmtId="3" fontId="3" fillId="42" borderId="20" xfId="48" applyNumberFormat="1" applyFont="1" applyFill="1" applyBorder="1" applyAlignment="1">
      <alignment horizontal="center"/>
    </xf>
    <xf numFmtId="221" fontId="8" fillId="36" borderId="20" xfId="48" applyNumberFormat="1" applyFont="1" applyFill="1" applyBorder="1" applyAlignment="1" applyProtection="1">
      <alignment horizontal="left" vertical="center" wrapText="1" indent="1"/>
      <protection/>
    </xf>
    <xf numFmtId="0" fontId="10" fillId="32" borderId="0" xfId="0" applyFont="1" applyFill="1" applyBorder="1" applyAlignment="1" applyProtection="1">
      <alignment horizontal="center" vertical="center" wrapText="1"/>
      <protection/>
    </xf>
    <xf numFmtId="0" fontId="10" fillId="32" borderId="11" xfId="0" applyFont="1" applyFill="1" applyBorder="1" applyAlignment="1" applyProtection="1">
      <alignment horizontal="center" vertical="center" wrapText="1"/>
      <protection/>
    </xf>
    <xf numFmtId="0" fontId="8" fillId="32" borderId="21" xfId="0" applyFont="1" applyFill="1" applyBorder="1" applyAlignment="1">
      <alignment vertical="center" wrapText="1"/>
    </xf>
    <xf numFmtId="0" fontId="20" fillId="0" borderId="67" xfId="0" applyNumberFormat="1" applyFont="1" applyFill="1" applyBorder="1" applyAlignment="1" applyProtection="1">
      <alignment vertical="center" wrapText="1"/>
      <protection hidden="1"/>
    </xf>
    <xf numFmtId="0" fontId="14" fillId="32" borderId="14" xfId="0" applyFont="1" applyFill="1" applyBorder="1" applyAlignment="1">
      <alignment horizontal="center" vertical="top" wrapText="1"/>
    </xf>
    <xf numFmtId="0" fontId="40" fillId="0" borderId="0" xfId="0" applyFont="1" applyAlignment="1">
      <alignment horizontal="center"/>
    </xf>
    <xf numFmtId="0" fontId="7" fillId="33" borderId="20" xfId="0" applyFont="1" applyFill="1" applyBorder="1" applyAlignment="1" applyProtection="1">
      <alignment horizontal="center"/>
      <protection locked="0"/>
    </xf>
    <xf numFmtId="189" fontId="7" fillId="33" borderId="20" xfId="48" applyNumberFormat="1" applyFont="1" applyFill="1" applyBorder="1" applyAlignment="1" applyProtection="1">
      <alignment horizontal="center"/>
      <protection locked="0"/>
    </xf>
    <xf numFmtId="0" fontId="18" fillId="0" borderId="52" xfId="0" applyNumberFormat="1" applyFont="1" applyFill="1" applyBorder="1" applyAlignment="1">
      <alignment horizontal="right" vertical="center" wrapText="1" indent="1"/>
    </xf>
    <xf numFmtId="3" fontId="18" fillId="32" borderId="21" xfId="0" applyNumberFormat="1" applyFont="1" applyFill="1" applyBorder="1" applyAlignment="1">
      <alignment horizontal="right" vertical="center" wrapText="1" indent="1"/>
    </xf>
    <xf numFmtId="2" fontId="0" fillId="0" borderId="0" xfId="0" applyNumberFormat="1" applyAlignment="1">
      <alignment horizontal="left"/>
    </xf>
    <xf numFmtId="0" fontId="10" fillId="36" borderId="38" xfId="0" applyFont="1" applyFill="1" applyBorder="1" applyAlignment="1" applyProtection="1">
      <alignment horizontal="center"/>
      <protection locked="0"/>
    </xf>
    <xf numFmtId="0" fontId="10" fillId="36" borderId="40" xfId="0" applyFont="1" applyFill="1" applyBorder="1" applyAlignment="1" applyProtection="1">
      <alignment horizontal="center"/>
      <protection locked="0"/>
    </xf>
    <xf numFmtId="0" fontId="10" fillId="36" borderId="41" xfId="0" applyFont="1" applyFill="1" applyBorder="1" applyAlignment="1" applyProtection="1">
      <alignment horizontal="center"/>
      <protection locked="0"/>
    </xf>
    <xf numFmtId="2" fontId="9" fillId="0" borderId="0" xfId="0" applyNumberFormat="1" applyFont="1" applyBorder="1" applyAlignment="1">
      <alignment horizontal="left"/>
    </xf>
    <xf numFmtId="2" fontId="0" fillId="0" borderId="0" xfId="0" applyNumberFormat="1" applyBorder="1" applyAlignment="1">
      <alignment/>
    </xf>
    <xf numFmtId="43" fontId="0" fillId="0" borderId="0" xfId="48" applyFont="1" applyBorder="1" applyAlignment="1">
      <alignment horizontal="right"/>
    </xf>
    <xf numFmtId="43" fontId="8" fillId="0" borderId="68" xfId="48" applyFont="1" applyFill="1" applyBorder="1" applyAlignment="1" applyProtection="1">
      <alignment horizontal="right" vertical="center" wrapText="1" indent="1"/>
      <protection locked="0"/>
    </xf>
    <xf numFmtId="183" fontId="8" fillId="0" borderId="68" xfId="48" applyNumberFormat="1" applyFont="1" applyFill="1" applyBorder="1" applyAlignment="1" applyProtection="1">
      <alignment horizontal="right" vertical="center" wrapText="1" indent="1"/>
      <protection locked="0"/>
    </xf>
    <xf numFmtId="0" fontId="0" fillId="36" borderId="69" xfId="0" applyFont="1" applyFill="1" applyBorder="1" applyAlignment="1" applyProtection="1">
      <alignment horizontal="center" vertical="center" wrapText="1"/>
      <protection locked="0"/>
    </xf>
    <xf numFmtId="0" fontId="0" fillId="36" borderId="67" xfId="0" applyFont="1" applyFill="1" applyBorder="1" applyAlignment="1" applyProtection="1">
      <alignment horizontal="center" vertical="center" wrapText="1"/>
      <protection locked="0"/>
    </xf>
    <xf numFmtId="3" fontId="0" fillId="32" borderId="70" xfId="0" applyNumberFormat="1" applyFont="1" applyFill="1" applyBorder="1" applyAlignment="1">
      <alignment horizontal="right" vertical="center" wrapText="1" indent="1"/>
    </xf>
    <xf numFmtId="0" fontId="11" fillId="34" borderId="29" xfId="0" applyFont="1" applyFill="1" applyBorder="1" applyAlignment="1">
      <alignment horizontal="center"/>
    </xf>
    <xf numFmtId="14" fontId="11" fillId="34" borderId="11" xfId="0" applyNumberFormat="1" applyFont="1" applyFill="1" applyBorder="1" applyAlignment="1">
      <alignment horizontal="center"/>
    </xf>
    <xf numFmtId="0" fontId="11" fillId="34" borderId="11" xfId="0" applyFont="1" applyFill="1" applyBorder="1" applyAlignment="1">
      <alignment horizontal="center"/>
    </xf>
    <xf numFmtId="0" fontId="11" fillId="0" borderId="11" xfId="0" applyFont="1" applyFill="1" applyBorder="1" applyAlignment="1">
      <alignment horizontal="center"/>
    </xf>
    <xf numFmtId="14" fontId="11" fillId="0" borderId="29" xfId="0" applyNumberFormat="1" applyFont="1" applyFill="1" applyBorder="1" applyAlignment="1">
      <alignment horizontal="center"/>
    </xf>
    <xf numFmtId="0" fontId="11" fillId="0" borderId="29" xfId="0" applyFont="1" applyFill="1" applyBorder="1" applyAlignment="1">
      <alignment horizontal="center"/>
    </xf>
    <xf numFmtId="191" fontId="34" fillId="0" borderId="0" xfId="0" applyNumberFormat="1" applyFont="1" applyAlignment="1">
      <alignment horizontal="left"/>
    </xf>
    <xf numFmtId="0" fontId="9" fillId="0" borderId="39" xfId="0" applyFont="1" applyFill="1" applyBorder="1" applyAlignment="1" applyProtection="1">
      <alignment vertical="center" wrapText="1"/>
      <protection locked="0"/>
    </xf>
    <xf numFmtId="0" fontId="9" fillId="0" borderId="40" xfId="0" applyFont="1" applyFill="1" applyBorder="1" applyAlignment="1" applyProtection="1">
      <alignment horizontal="center" vertical="center" wrapText="1"/>
      <protection locked="0"/>
    </xf>
    <xf numFmtId="0" fontId="10" fillId="0" borderId="39" xfId="0" applyFont="1" applyFill="1" applyBorder="1" applyAlignment="1" applyProtection="1">
      <alignment vertical="center" wrapText="1"/>
      <protection locked="0"/>
    </xf>
    <xf numFmtId="3" fontId="10" fillId="36" borderId="71" xfId="48" applyNumberFormat="1" applyFont="1" applyFill="1" applyBorder="1" applyAlignment="1" applyProtection="1">
      <alignment horizontal="center" vertical="center" wrapText="1"/>
      <protection locked="0"/>
    </xf>
    <xf numFmtId="3" fontId="10" fillId="36" borderId="72" xfId="48" applyNumberFormat="1" applyFont="1" applyFill="1" applyBorder="1" applyAlignment="1" applyProtection="1">
      <alignment horizontal="center" vertical="center" wrapText="1"/>
      <protection locked="0"/>
    </xf>
    <xf numFmtId="3" fontId="10" fillId="36" borderId="73" xfId="48" applyNumberFormat="1" applyFont="1" applyFill="1" applyBorder="1" applyAlignment="1" applyProtection="1">
      <alignment horizontal="center" vertical="center" wrapText="1"/>
      <protection locked="0"/>
    </xf>
    <xf numFmtId="3" fontId="10" fillId="36" borderId="20" xfId="48" applyNumberFormat="1" applyFont="1" applyFill="1" applyBorder="1" applyAlignment="1" applyProtection="1">
      <alignment horizontal="center" vertical="center" wrapText="1"/>
      <protection locked="0"/>
    </xf>
    <xf numFmtId="3" fontId="3" fillId="36" borderId="20" xfId="48" applyNumberFormat="1" applyFont="1" applyFill="1" applyBorder="1" applyAlignment="1">
      <alignment horizontal="center"/>
    </xf>
    <xf numFmtId="0" fontId="10" fillId="36" borderId="59" xfId="0" applyFont="1" applyFill="1" applyBorder="1" applyAlignment="1" applyProtection="1">
      <alignment horizontal="center" vertical="center" wrapText="1"/>
      <protection locked="0"/>
    </xf>
    <xf numFmtId="0" fontId="10" fillId="36" borderId="47" xfId="0" applyFont="1" applyFill="1" applyBorder="1" applyAlignment="1" applyProtection="1">
      <alignment horizontal="center" vertical="center" wrapText="1"/>
      <protection locked="0"/>
    </xf>
    <xf numFmtId="0" fontId="10" fillId="36" borderId="62" xfId="0" applyFont="1" applyFill="1" applyBorder="1" applyAlignment="1" applyProtection="1">
      <alignment horizontal="center" vertical="center" wrapText="1"/>
      <protection locked="0"/>
    </xf>
    <xf numFmtId="2" fontId="10" fillId="36" borderId="42" xfId="0" applyNumberFormat="1" applyFont="1" applyFill="1" applyBorder="1" applyAlignment="1" applyProtection="1">
      <alignment horizontal="center" vertical="center" wrapText="1"/>
      <protection locked="0"/>
    </xf>
    <xf numFmtId="3" fontId="18" fillId="36" borderId="63" xfId="0" applyNumberFormat="1" applyFont="1" applyFill="1" applyBorder="1" applyAlignment="1" applyProtection="1">
      <alignment horizontal="right" vertical="center" wrapText="1" indent="1"/>
      <protection locked="0"/>
    </xf>
    <xf numFmtId="0" fontId="48" fillId="0" borderId="0" xfId="0" applyFont="1" applyFill="1" applyAlignment="1">
      <alignment/>
    </xf>
    <xf numFmtId="0" fontId="33" fillId="0" borderId="0" xfId="0" applyFont="1" applyFill="1" applyAlignment="1">
      <alignment/>
    </xf>
    <xf numFmtId="0" fontId="6" fillId="0" borderId="0" xfId="0" applyFont="1" applyAlignment="1">
      <alignment horizontal="left" vertical="center"/>
    </xf>
    <xf numFmtId="0" fontId="11" fillId="36" borderId="0" xfId="0" applyFont="1" applyFill="1" applyBorder="1" applyAlignment="1">
      <alignment horizontal="center"/>
    </xf>
    <xf numFmtId="0" fontId="3" fillId="0" borderId="0" xfId="0" applyFont="1" applyFill="1" applyBorder="1" applyAlignment="1">
      <alignment horizontal="center" vertical="center" wrapText="1"/>
    </xf>
    <xf numFmtId="0" fontId="18" fillId="32" borderId="19" xfId="0" applyFont="1" applyFill="1" applyBorder="1" applyAlignment="1">
      <alignment horizontal="center" vertical="center" wrapText="1"/>
    </xf>
    <xf numFmtId="0" fontId="10" fillId="0" borderId="74" xfId="0" applyFont="1" applyBorder="1" applyAlignment="1">
      <alignment horizontal="center" vertical="center" wrapText="1"/>
    </xf>
    <xf numFmtId="0" fontId="18" fillId="32" borderId="10" xfId="0" applyFont="1" applyFill="1" applyBorder="1" applyAlignment="1">
      <alignment horizontal="center" vertical="center" wrapText="1"/>
    </xf>
    <xf numFmtId="0" fontId="10" fillId="43" borderId="35" xfId="0" applyFont="1" applyFill="1" applyBorder="1" applyAlignment="1">
      <alignment horizontal="center" vertical="center" wrapText="1"/>
    </xf>
    <xf numFmtId="0" fontId="14" fillId="43" borderId="35" xfId="0" applyFont="1" applyFill="1" applyBorder="1" applyAlignment="1">
      <alignment horizontal="center" vertical="center" wrapText="1"/>
    </xf>
    <xf numFmtId="0" fontId="18" fillId="43" borderId="20" xfId="0" applyFont="1" applyFill="1" applyBorder="1" applyAlignment="1">
      <alignment horizontal="center" vertical="center" wrapText="1"/>
    </xf>
    <xf numFmtId="0" fontId="3" fillId="43" borderId="20" xfId="0" applyFont="1" applyFill="1" applyBorder="1" applyAlignment="1">
      <alignment horizontal="center" vertical="center" wrapText="1"/>
    </xf>
    <xf numFmtId="0" fontId="14" fillId="0" borderId="47" xfId="0" applyFont="1" applyBorder="1" applyAlignment="1">
      <alignment vertical="center" wrapText="1"/>
    </xf>
    <xf numFmtId="0" fontId="14" fillId="0" borderId="40" xfId="0" applyFont="1" applyBorder="1" applyAlignment="1">
      <alignment vertical="center" wrapText="1"/>
    </xf>
    <xf numFmtId="0" fontId="14" fillId="0" borderId="40" xfId="0" applyFont="1" applyBorder="1" applyAlignment="1">
      <alignment vertical="center"/>
    </xf>
    <xf numFmtId="0" fontId="14" fillId="0" borderId="52" xfId="0" applyFont="1" applyFill="1" applyBorder="1" applyAlignment="1">
      <alignment vertical="center" wrapText="1"/>
    </xf>
    <xf numFmtId="14" fontId="34" fillId="0" borderId="0" xfId="0" applyNumberFormat="1" applyFont="1" applyBorder="1" applyAlignment="1">
      <alignment horizontal="center"/>
    </xf>
    <xf numFmtId="0" fontId="35" fillId="0" borderId="0" xfId="0" applyFont="1" applyFill="1" applyAlignment="1">
      <alignment/>
    </xf>
    <xf numFmtId="0" fontId="67" fillId="0" borderId="0" xfId="0" applyFont="1" applyAlignment="1">
      <alignment/>
    </xf>
    <xf numFmtId="14" fontId="34" fillId="0" borderId="0" xfId="0" applyNumberFormat="1" applyFont="1" applyBorder="1" applyAlignment="1">
      <alignment/>
    </xf>
    <xf numFmtId="0" fontId="11" fillId="0" borderId="0" xfId="0" applyFont="1" applyAlignment="1">
      <alignment/>
    </xf>
    <xf numFmtId="0" fontId="11" fillId="0" borderId="0" xfId="0" applyFont="1" applyBorder="1" applyAlignment="1">
      <alignment/>
    </xf>
    <xf numFmtId="189" fontId="11" fillId="0" borderId="0" xfId="48" applyNumberFormat="1" applyFont="1" applyAlignment="1">
      <alignment horizontal="right"/>
    </xf>
    <xf numFmtId="0" fontId="30" fillId="0" borderId="0" xfId="0" applyFont="1" applyAlignment="1">
      <alignment/>
    </xf>
    <xf numFmtId="0" fontId="1" fillId="0" borderId="0" xfId="0" applyFont="1" applyAlignment="1">
      <alignment/>
    </xf>
    <xf numFmtId="189" fontId="30" fillId="0" borderId="0" xfId="48" applyNumberFormat="1" applyFont="1" applyAlignment="1">
      <alignment horizontal="right"/>
    </xf>
    <xf numFmtId="0" fontId="11" fillId="0" borderId="0" xfId="0" applyFont="1" applyAlignment="1">
      <alignment horizontal="center"/>
    </xf>
    <xf numFmtId="0" fontId="30" fillId="0" borderId="0" xfId="0" applyFont="1" applyAlignment="1">
      <alignment horizontal="center"/>
    </xf>
    <xf numFmtId="0" fontId="1" fillId="0" borderId="0" xfId="0" applyFont="1" applyAlignment="1">
      <alignment horizontal="center"/>
    </xf>
    <xf numFmtId="0" fontId="2" fillId="32" borderId="75" xfId="0" applyFont="1" applyFill="1" applyBorder="1" applyAlignment="1">
      <alignment vertical="center"/>
    </xf>
    <xf numFmtId="0" fontId="2" fillId="32" borderId="75"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horizontal="center"/>
    </xf>
    <xf numFmtId="0" fontId="3" fillId="0" borderId="20" xfId="0" applyFont="1" applyBorder="1" applyAlignment="1">
      <alignment horizontal="center" vertical="center"/>
    </xf>
    <xf numFmtId="0" fontId="51" fillId="0" borderId="20" xfId="0" applyFont="1" applyBorder="1" applyAlignment="1">
      <alignment vertical="center"/>
    </xf>
    <xf numFmtId="0" fontId="9" fillId="0" borderId="10" xfId="0" applyFont="1" applyBorder="1" applyAlignment="1">
      <alignment horizontal="center" vertical="center" wrapText="1"/>
    </xf>
    <xf numFmtId="0" fontId="3" fillId="0" borderId="0" xfId="0" applyFont="1" applyAlignment="1">
      <alignment vertical="center"/>
    </xf>
    <xf numFmtId="49" fontId="9" fillId="0" borderId="0" xfId="48" applyNumberFormat="1" applyFont="1" applyAlignment="1">
      <alignment horizontal="right"/>
    </xf>
    <xf numFmtId="2" fontId="8" fillId="32" borderId="10" xfId="48" applyNumberFormat="1" applyFont="1" applyFill="1" applyBorder="1" applyAlignment="1">
      <alignment vertical="center"/>
    </xf>
    <xf numFmtId="3" fontId="6" fillId="32" borderId="20" xfId="48" applyNumberFormat="1" applyFont="1" applyFill="1" applyBorder="1" applyAlignment="1">
      <alignment horizontal="right" vertical="center"/>
    </xf>
    <xf numFmtId="0" fontId="60" fillId="0" borderId="0" xfId="0" applyFont="1" applyAlignment="1">
      <alignment/>
    </xf>
    <xf numFmtId="0" fontId="7" fillId="0" borderId="0" xfId="0" applyFont="1" applyAlignment="1">
      <alignment horizontal="left" indent="1"/>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xf>
    <xf numFmtId="0" fontId="31" fillId="0" borderId="0" xfId="0" applyFont="1" applyBorder="1" applyAlignment="1">
      <alignment/>
    </xf>
    <xf numFmtId="0" fontId="9" fillId="36" borderId="40" xfId="0" applyFont="1" applyFill="1" applyBorder="1" applyAlignment="1" applyProtection="1">
      <alignment vertical="center" wrapText="1"/>
      <protection locked="0"/>
    </xf>
    <xf numFmtId="0" fontId="10" fillId="36" borderId="40" xfId="0" applyFont="1" applyFill="1" applyBorder="1" applyAlignment="1" applyProtection="1">
      <alignment vertical="center" wrapText="1"/>
      <protection locked="0"/>
    </xf>
    <xf numFmtId="0" fontId="14" fillId="36" borderId="40" xfId="0" applyFont="1" applyFill="1" applyBorder="1" applyAlignment="1" applyProtection="1">
      <alignment horizontal="center" vertical="center" wrapText="1"/>
      <protection locked="0"/>
    </xf>
    <xf numFmtId="0" fontId="14" fillId="36" borderId="40" xfId="0" applyFont="1" applyFill="1" applyBorder="1" applyAlignment="1" applyProtection="1">
      <alignment vertical="center" wrapText="1"/>
      <protection locked="0"/>
    </xf>
    <xf numFmtId="0" fontId="1" fillId="36" borderId="39" xfId="0" applyFont="1" applyFill="1" applyBorder="1" applyAlignment="1" applyProtection="1">
      <alignment horizontal="left" vertical="center" wrapText="1"/>
      <protection locked="0"/>
    </xf>
    <xf numFmtId="49" fontId="0" fillId="36" borderId="40"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locked="0"/>
    </xf>
    <xf numFmtId="49" fontId="0" fillId="36" borderId="38" xfId="0" applyNumberFormat="1" applyFont="1" applyFill="1" applyBorder="1" applyAlignment="1" applyProtection="1">
      <alignment horizontal="center" vertical="center" wrapText="1"/>
      <protection locked="0"/>
    </xf>
    <xf numFmtId="0" fontId="11" fillId="36" borderId="38" xfId="0" applyFont="1" applyFill="1" applyBorder="1" applyAlignment="1" applyProtection="1">
      <alignment horizontal="center" vertical="center" wrapText="1"/>
      <protection locked="0"/>
    </xf>
    <xf numFmtId="1" fontId="0" fillId="36" borderId="49" xfId="0" applyNumberFormat="1" applyFont="1" applyFill="1" applyBorder="1" applyAlignment="1" applyProtection="1">
      <alignment horizontal="center" vertical="center" wrapText="1"/>
      <protection locked="0"/>
    </xf>
    <xf numFmtId="1" fontId="0" fillId="36" borderId="39" xfId="0" applyNumberFormat="1" applyFont="1" applyFill="1" applyBorder="1" applyAlignment="1" applyProtection="1">
      <alignment horizontal="center" vertical="center" wrapText="1"/>
      <protection locked="0"/>
    </xf>
    <xf numFmtId="1" fontId="11" fillId="36" borderId="39" xfId="0" applyNumberFormat="1" applyFont="1" applyFill="1" applyBorder="1" applyAlignment="1" applyProtection="1">
      <alignment horizontal="center" vertical="center" wrapText="1"/>
      <protection locked="0"/>
    </xf>
    <xf numFmtId="0" fontId="1" fillId="36" borderId="39" xfId="0" applyFont="1" applyFill="1" applyBorder="1" applyAlignment="1" applyProtection="1">
      <alignment vertical="center" wrapText="1"/>
      <protection locked="0"/>
    </xf>
    <xf numFmtId="0" fontId="1" fillId="36" borderId="76" xfId="0" applyFont="1" applyFill="1" applyBorder="1" applyAlignment="1" applyProtection="1">
      <alignment vertical="center" wrapText="1"/>
      <protection locked="0"/>
    </xf>
    <xf numFmtId="0" fontId="11" fillId="36" borderId="65" xfId="0" applyFont="1" applyFill="1" applyBorder="1" applyAlignment="1" applyProtection="1">
      <alignment horizontal="center" vertical="center" wrapText="1"/>
      <protection locked="0"/>
    </xf>
    <xf numFmtId="0" fontId="1" fillId="36" borderId="49" xfId="0" applyFont="1" applyFill="1" applyBorder="1" applyAlignment="1" applyProtection="1">
      <alignment vertical="center" wrapText="1"/>
      <protection locked="0"/>
    </xf>
    <xf numFmtId="1" fontId="11" fillId="36" borderId="49" xfId="0" applyNumberFormat="1" applyFont="1" applyFill="1" applyBorder="1" applyAlignment="1" applyProtection="1">
      <alignment horizontal="center" vertical="center" wrapText="1"/>
      <protection locked="0"/>
    </xf>
    <xf numFmtId="0" fontId="1" fillId="36" borderId="50" xfId="0" applyFont="1" applyFill="1" applyBorder="1" applyAlignment="1" applyProtection="1">
      <alignment vertical="center" wrapText="1"/>
      <protection locked="0"/>
    </xf>
    <xf numFmtId="49" fontId="0" fillId="36" borderId="41" xfId="0" applyNumberFormat="1" applyFont="1" applyFill="1" applyBorder="1" applyAlignment="1" applyProtection="1">
      <alignment horizontal="center" vertical="center" wrapText="1"/>
      <protection locked="0"/>
    </xf>
    <xf numFmtId="0" fontId="11" fillId="36" borderId="41" xfId="0" applyFont="1" applyFill="1" applyBorder="1" applyAlignment="1" applyProtection="1">
      <alignment horizontal="center" vertical="center" wrapText="1"/>
      <protection locked="0"/>
    </xf>
    <xf numFmtId="0" fontId="51" fillId="0" borderId="0" xfId="0" applyFont="1" applyAlignment="1">
      <alignment/>
    </xf>
    <xf numFmtId="0" fontId="6" fillId="0" borderId="0" xfId="0" applyFont="1" applyAlignment="1">
      <alignment horizontal="left"/>
    </xf>
    <xf numFmtId="0" fontId="0" fillId="36" borderId="0" xfId="0" applyFont="1" applyFill="1" applyBorder="1" applyAlignment="1">
      <alignment horizontal="center"/>
    </xf>
    <xf numFmtId="0" fontId="0" fillId="0" borderId="0" xfId="0" applyFont="1" applyBorder="1" applyAlignment="1">
      <alignment/>
    </xf>
    <xf numFmtId="189" fontId="0" fillId="0" borderId="0" xfId="48" applyNumberFormat="1" applyFont="1" applyBorder="1" applyAlignment="1">
      <alignment horizontal="center"/>
    </xf>
    <xf numFmtId="0" fontId="3" fillId="0" borderId="20" xfId="0" applyFont="1" applyBorder="1" applyAlignment="1">
      <alignment horizontal="center" vertical="center" wrapText="1"/>
    </xf>
    <xf numFmtId="0" fontId="0" fillId="36" borderId="77" xfId="0" applyFont="1" applyFill="1" applyBorder="1" applyAlignment="1">
      <alignment/>
    </xf>
    <xf numFmtId="0" fontId="0" fillId="36" borderId="77" xfId="0" applyFont="1" applyFill="1" applyBorder="1" applyAlignment="1">
      <alignment horizontal="center"/>
    </xf>
    <xf numFmtId="0" fontId="0" fillId="0" borderId="33" xfId="0" applyFont="1" applyBorder="1" applyAlignment="1">
      <alignment/>
    </xf>
    <xf numFmtId="0" fontId="0" fillId="36" borderId="33" xfId="0" applyFont="1" applyFill="1" applyBorder="1" applyAlignment="1">
      <alignment horizontal="center"/>
    </xf>
    <xf numFmtId="189" fontId="0" fillId="0" borderId="33" xfId="48" applyNumberFormat="1" applyFont="1" applyBorder="1" applyAlignment="1">
      <alignment horizontal="center"/>
    </xf>
    <xf numFmtId="189" fontId="0" fillId="36" borderId="78" xfId="48" applyNumberFormat="1" applyFont="1" applyFill="1" applyBorder="1" applyAlignment="1">
      <alignment horizontal="right"/>
    </xf>
    <xf numFmtId="183" fontId="9" fillId="39" borderId="45" xfId="48" applyNumberFormat="1" applyFont="1" applyFill="1" applyBorder="1" applyAlignment="1">
      <alignment horizontal="right" vertical="center" wrapText="1" indent="1"/>
    </xf>
    <xf numFmtId="3" fontId="0" fillId="32" borderId="79" xfId="0" applyNumberFormat="1" applyFont="1" applyFill="1" applyBorder="1" applyAlignment="1">
      <alignment horizontal="right" vertical="center" wrapText="1" indent="1"/>
    </xf>
    <xf numFmtId="189" fontId="2" fillId="0" borderId="10" xfId="48" applyNumberFormat="1" applyFont="1" applyBorder="1" applyAlignment="1">
      <alignment horizontal="center" vertical="center" wrapText="1"/>
    </xf>
    <xf numFmtId="0" fontId="10" fillId="32" borderId="0" xfId="0" applyFont="1" applyFill="1" applyBorder="1" applyAlignment="1">
      <alignment horizontal="left" vertical="center" wrapText="1"/>
    </xf>
    <xf numFmtId="14" fontId="73" fillId="0" borderId="0" xfId="0" applyNumberFormat="1" applyFont="1" applyAlignment="1">
      <alignment/>
    </xf>
    <xf numFmtId="0" fontId="11" fillId="0" borderId="0" xfId="0" applyFont="1" applyAlignment="1">
      <alignment horizontal="center" vertical="center"/>
    </xf>
    <xf numFmtId="0" fontId="0" fillId="0" borderId="0" xfId="0" applyFill="1" applyBorder="1" applyAlignment="1">
      <alignment vertical="center"/>
    </xf>
    <xf numFmtId="0" fontId="11" fillId="0" borderId="0" xfId="0" applyFont="1" applyAlignment="1">
      <alignment vertical="center"/>
    </xf>
    <xf numFmtId="189" fontId="30" fillId="0" borderId="0" xfId="48" applyNumberFormat="1" applyFont="1" applyAlignment="1">
      <alignment horizontal="right" vertical="center"/>
    </xf>
    <xf numFmtId="0" fontId="32" fillId="32" borderId="0"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Alignment="1">
      <alignment/>
    </xf>
    <xf numFmtId="0" fontId="74" fillId="0" borderId="0" xfId="0" applyFont="1" applyAlignment="1">
      <alignment/>
    </xf>
    <xf numFmtId="0" fontId="0" fillId="0" borderId="0" xfId="0" applyFont="1" applyFill="1" applyBorder="1" applyAlignment="1">
      <alignment horizontal="center"/>
    </xf>
    <xf numFmtId="0" fontId="0" fillId="32" borderId="19" xfId="0" applyFill="1" applyBorder="1" applyAlignment="1">
      <alignment horizontal="center"/>
    </xf>
    <xf numFmtId="4" fontId="2" fillId="32" borderId="29" xfId="0" applyNumberFormat="1" applyFont="1" applyFill="1" applyBorder="1" applyAlignment="1">
      <alignment vertical="center" wrapText="1"/>
    </xf>
    <xf numFmtId="4" fontId="2" fillId="32" borderId="20" xfId="0" applyNumberFormat="1" applyFont="1" applyFill="1" applyBorder="1" applyAlignment="1">
      <alignment vertical="center" wrapText="1"/>
    </xf>
    <xf numFmtId="0" fontId="0" fillId="36" borderId="69"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0" fontId="0" fillId="32" borderId="81" xfId="0" applyFill="1" applyBorder="1" applyAlignment="1">
      <alignment horizontal="center"/>
    </xf>
    <xf numFmtId="0" fontId="0" fillId="32" borderId="82" xfId="0" applyFill="1" applyBorder="1" applyAlignment="1">
      <alignment horizontal="center"/>
    </xf>
    <xf numFmtId="0" fontId="0" fillId="32" borderId="83" xfId="0" applyFill="1" applyBorder="1" applyAlignment="1">
      <alignment horizontal="center"/>
    </xf>
    <xf numFmtId="0" fontId="11" fillId="36" borderId="51" xfId="0" applyFont="1" applyFill="1" applyBorder="1" applyAlignment="1">
      <alignment vertical="center" wrapText="1"/>
    </xf>
    <xf numFmtId="0" fontId="11" fillId="36" borderId="52" xfId="0" applyFont="1" applyFill="1" applyBorder="1" applyAlignment="1">
      <alignment vertical="center" wrapText="1"/>
    </xf>
    <xf numFmtId="0" fontId="11" fillId="36" borderId="68"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10" fontId="10" fillId="0" borderId="0" xfId="0" applyNumberFormat="1"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right" vertical="center" wrapText="1" indent="1"/>
      <protection locked="0"/>
    </xf>
    <xf numFmtId="4" fontId="10" fillId="0" borderId="0" xfId="0" applyNumberFormat="1" applyFont="1" applyFill="1" applyBorder="1" applyAlignment="1">
      <alignment horizontal="right" vertical="center" wrapText="1" indent="1"/>
    </xf>
    <xf numFmtId="0" fontId="0" fillId="0" borderId="0" xfId="0" applyFill="1" applyAlignment="1">
      <alignment vertical="center"/>
    </xf>
    <xf numFmtId="0" fontId="0" fillId="0"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25" fillId="0" borderId="34" xfId="0" applyFont="1" applyBorder="1" applyAlignment="1">
      <alignment horizontal="left" vertical="center" wrapText="1"/>
    </xf>
    <xf numFmtId="0" fontId="0" fillId="0" borderId="35" xfId="0" applyFont="1" applyFill="1" applyBorder="1" applyAlignment="1">
      <alignment horizontal="center" vertical="center" wrapText="1"/>
    </xf>
    <xf numFmtId="4" fontId="10" fillId="0" borderId="43" xfId="0" applyNumberFormat="1" applyFont="1" applyBorder="1" applyAlignment="1">
      <alignment horizontal="right" vertical="center" wrapText="1" indent="1"/>
    </xf>
    <xf numFmtId="4" fontId="10" fillId="0" borderId="44" xfId="0" applyNumberFormat="1" applyFont="1" applyBorder="1" applyAlignment="1">
      <alignment horizontal="right" vertical="center" wrapText="1" indent="1"/>
    </xf>
    <xf numFmtId="10" fontId="10" fillId="36" borderId="42" xfId="0" applyNumberFormat="1" applyFont="1" applyFill="1" applyBorder="1" applyAlignment="1" applyProtection="1">
      <alignment horizontal="center" vertical="center" wrapText="1"/>
      <protection locked="0"/>
    </xf>
    <xf numFmtId="4" fontId="10" fillId="36" borderId="42" xfId="0" applyNumberFormat="1" applyFont="1" applyFill="1" applyBorder="1" applyAlignment="1" applyProtection="1">
      <alignment horizontal="right" vertical="center" wrapText="1" indent="1"/>
      <protection locked="0"/>
    </xf>
    <xf numFmtId="4" fontId="10" fillId="0" borderId="63" xfId="0" applyNumberFormat="1" applyFont="1" applyBorder="1" applyAlignment="1">
      <alignment horizontal="right" vertical="center" wrapText="1" indent="1"/>
    </xf>
    <xf numFmtId="10" fontId="10" fillId="0" borderId="33" xfId="0" applyNumberFormat="1" applyFont="1" applyBorder="1" applyAlignment="1">
      <alignment horizontal="center" vertical="center" wrapText="1"/>
    </xf>
    <xf numFmtId="4" fontId="10" fillId="0" borderId="33" xfId="0" applyNumberFormat="1" applyFont="1" applyBorder="1" applyAlignment="1">
      <alignment vertical="center" wrapText="1"/>
    </xf>
    <xf numFmtId="4" fontId="11" fillId="0" borderId="22" xfId="0" applyNumberFormat="1" applyFont="1" applyBorder="1" applyAlignment="1">
      <alignment vertical="center" wrapText="1"/>
    </xf>
    <xf numFmtId="4" fontId="11" fillId="0" borderId="35" xfId="0" applyNumberFormat="1" applyFont="1" applyBorder="1" applyAlignment="1">
      <alignment vertical="center" wrapText="1"/>
    </xf>
    <xf numFmtId="4" fontId="25" fillId="0" borderId="33" xfId="0" applyNumberFormat="1" applyFont="1" applyFill="1" applyBorder="1" applyAlignment="1">
      <alignment horizontal="center" vertical="center" wrapText="1"/>
    </xf>
    <xf numFmtId="4" fontId="11" fillId="0" borderId="22" xfId="0" applyNumberFormat="1" applyFont="1" applyFill="1" applyBorder="1" applyAlignment="1">
      <alignment vertical="center" wrapText="1"/>
    </xf>
    <xf numFmtId="0" fontId="25" fillId="0" borderId="34" xfId="0" applyFont="1" applyFill="1" applyBorder="1" applyAlignment="1">
      <alignment horizontal="left" vertical="center" wrapText="1"/>
    </xf>
    <xf numFmtId="4" fontId="11" fillId="0" borderId="35" xfId="0" applyNumberFormat="1" applyFont="1" applyFill="1" applyBorder="1" applyAlignment="1">
      <alignment vertical="center" wrapText="1"/>
    </xf>
    <xf numFmtId="10" fontId="25" fillId="0" borderId="33" xfId="0" applyNumberFormat="1" applyFont="1" applyBorder="1" applyAlignment="1">
      <alignment horizontal="center" vertical="center" wrapText="1"/>
    </xf>
    <xf numFmtId="4" fontId="25" fillId="0" borderId="33" xfId="0" applyNumberFormat="1" applyFont="1" applyBorder="1" applyAlignment="1">
      <alignment horizontal="center" vertical="center" wrapText="1"/>
    </xf>
    <xf numFmtId="0" fontId="76" fillId="0" borderId="33" xfId="0" applyFont="1" applyBorder="1" applyAlignment="1">
      <alignment vertical="center" wrapText="1"/>
    </xf>
    <xf numFmtId="14" fontId="69" fillId="0" borderId="0" xfId="48" applyNumberFormat="1" applyFont="1" applyBorder="1" applyAlignment="1">
      <alignment horizontal="right"/>
    </xf>
    <xf numFmtId="0" fontId="7" fillId="0" borderId="0" xfId="0" applyFont="1" applyFill="1" applyBorder="1" applyAlignment="1">
      <alignment horizontal="left" vertical="top" wrapText="1"/>
    </xf>
    <xf numFmtId="0" fontId="11" fillId="36" borderId="79" xfId="0" applyFont="1" applyFill="1" applyBorder="1" applyAlignment="1" applyProtection="1">
      <alignment vertical="center" wrapText="1"/>
      <protection/>
    </xf>
    <xf numFmtId="0" fontId="0" fillId="0" borderId="0" xfId="0" applyAlignment="1" applyProtection="1">
      <alignment/>
      <protection/>
    </xf>
    <xf numFmtId="0" fontId="59" fillId="0" borderId="0" xfId="0" applyFont="1" applyFill="1" applyBorder="1" applyAlignment="1" applyProtection="1">
      <alignment/>
      <protection/>
    </xf>
    <xf numFmtId="0" fontId="75" fillId="0" borderId="0" xfId="0" applyFont="1" applyFill="1" applyAlignment="1" applyProtection="1">
      <alignment/>
      <protection/>
    </xf>
    <xf numFmtId="0" fontId="5" fillId="0" borderId="0" xfId="0" applyFont="1" applyAlignment="1" applyProtection="1">
      <alignment horizontal="right"/>
      <protection/>
    </xf>
    <xf numFmtId="0" fontId="51" fillId="0" borderId="0" xfId="0" applyFont="1" applyAlignment="1" applyProtection="1">
      <alignment/>
      <protection/>
    </xf>
    <xf numFmtId="0" fontId="9" fillId="0" borderId="0" xfId="0" applyFont="1" applyAlignment="1" applyProtection="1">
      <alignment/>
      <protection/>
    </xf>
    <xf numFmtId="0" fontId="7" fillId="32" borderId="23" xfId="0" applyFont="1" applyFill="1" applyBorder="1" applyAlignment="1" applyProtection="1">
      <alignment vertical="center" wrapText="1"/>
      <protection/>
    </xf>
    <xf numFmtId="0" fontId="18" fillId="32" borderId="23" xfId="0" applyFont="1" applyFill="1" applyBorder="1" applyAlignment="1" applyProtection="1">
      <alignment horizontal="center" vertical="center" wrapText="1"/>
      <protection/>
    </xf>
    <xf numFmtId="0" fontId="7" fillId="32" borderId="23" xfId="0"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11" fillId="32" borderId="84" xfId="0" applyFont="1" applyFill="1" applyBorder="1" applyAlignment="1" applyProtection="1">
      <alignment vertical="center" wrapText="1"/>
      <protection/>
    </xf>
    <xf numFmtId="0" fontId="3" fillId="32" borderId="85" xfId="0" applyFont="1" applyFill="1" applyBorder="1" applyAlignment="1" applyProtection="1">
      <alignment vertical="center" wrapText="1"/>
      <protection/>
    </xf>
    <xf numFmtId="4" fontId="3" fillId="32" borderId="20" xfId="0" applyNumberFormat="1" applyFont="1" applyFill="1" applyBorder="1" applyAlignment="1" applyProtection="1">
      <alignment horizontal="right" vertical="center" wrapText="1" indent="1"/>
      <protection/>
    </xf>
    <xf numFmtId="0" fontId="11" fillId="32" borderId="31" xfId="0" applyFont="1" applyFill="1" applyBorder="1" applyAlignment="1" applyProtection="1">
      <alignment vertical="center" wrapText="1"/>
      <protection/>
    </xf>
    <xf numFmtId="0" fontId="0" fillId="0" borderId="0" xfId="0" applyAlignment="1" applyProtection="1">
      <alignment vertical="center"/>
      <protection/>
    </xf>
    <xf numFmtId="0" fontId="11" fillId="36" borderId="86" xfId="0" applyFont="1" applyFill="1" applyBorder="1" applyAlignment="1" applyProtection="1">
      <alignment vertical="center" wrapText="1"/>
      <protection/>
    </xf>
    <xf numFmtId="4" fontId="11" fillId="36" borderId="79" xfId="0" applyNumberFormat="1" applyFont="1" applyFill="1" applyBorder="1" applyAlignment="1" applyProtection="1">
      <alignment horizontal="right" vertical="center" wrapText="1" indent="1"/>
      <protection/>
    </xf>
    <xf numFmtId="0" fontId="11" fillId="36" borderId="87" xfId="0" applyFont="1" applyFill="1" applyBorder="1" applyAlignment="1" applyProtection="1">
      <alignment vertical="center" wrapText="1"/>
      <protection/>
    </xf>
    <xf numFmtId="0" fontId="11" fillId="36" borderId="39" xfId="0" applyFont="1" applyFill="1" applyBorder="1" applyAlignment="1" applyProtection="1">
      <alignment vertical="center" wrapText="1"/>
      <protection/>
    </xf>
    <xf numFmtId="0" fontId="11" fillId="36" borderId="40" xfId="0" applyFont="1" applyFill="1" applyBorder="1" applyAlignment="1" applyProtection="1">
      <alignment vertical="center" wrapText="1"/>
      <protection/>
    </xf>
    <xf numFmtId="4" fontId="11" fillId="36" borderId="40" xfId="0" applyNumberFormat="1" applyFont="1" applyFill="1" applyBorder="1" applyAlignment="1" applyProtection="1">
      <alignment horizontal="right" vertical="center" wrapText="1" indent="1"/>
      <protection/>
    </xf>
    <xf numFmtId="0" fontId="11" fillId="36" borderId="52" xfId="0" applyFont="1" applyFill="1" applyBorder="1" applyAlignment="1" applyProtection="1">
      <alignment vertical="center" wrapText="1"/>
      <protection/>
    </xf>
    <xf numFmtId="0" fontId="11" fillId="36" borderId="50" xfId="0" applyFont="1" applyFill="1" applyBorder="1" applyAlignment="1" applyProtection="1">
      <alignment vertical="center" wrapText="1"/>
      <protection/>
    </xf>
    <xf numFmtId="0" fontId="11" fillId="36" borderId="41" xfId="0" applyFont="1" applyFill="1" applyBorder="1" applyAlignment="1" applyProtection="1">
      <alignment vertical="center" wrapText="1"/>
      <protection/>
    </xf>
    <xf numFmtId="4" fontId="11" fillId="36" borderId="41" xfId="0" applyNumberFormat="1" applyFont="1" applyFill="1" applyBorder="1" applyAlignment="1" applyProtection="1">
      <alignment horizontal="right" vertical="center" wrapText="1" indent="1"/>
      <protection/>
    </xf>
    <xf numFmtId="0" fontId="11" fillId="36" borderId="68" xfId="0" applyFont="1" applyFill="1" applyBorder="1" applyAlignment="1" applyProtection="1">
      <alignment vertical="center" wrapText="1"/>
      <protection/>
    </xf>
    <xf numFmtId="0" fontId="19" fillId="0" borderId="0" xfId="0" applyFont="1" applyAlignment="1" applyProtection="1">
      <alignment/>
      <protection/>
    </xf>
    <xf numFmtId="4" fontId="0" fillId="0" borderId="0" xfId="0" applyNumberFormat="1" applyAlignment="1" applyProtection="1">
      <alignment vertical="center"/>
      <protection/>
    </xf>
    <xf numFmtId="4" fontId="2" fillId="32" borderId="20" xfId="0" applyNumberFormat="1" applyFont="1" applyFill="1" applyBorder="1" applyAlignment="1" applyProtection="1">
      <alignment horizontal="right" vertical="center" wrapText="1" indent="1"/>
      <protection/>
    </xf>
    <xf numFmtId="0" fontId="2" fillId="32" borderId="31" xfId="0" applyFont="1" applyFill="1" applyBorder="1" applyAlignment="1" applyProtection="1">
      <alignment horizontal="center" vertical="center"/>
      <protection/>
    </xf>
    <xf numFmtId="0" fontId="1" fillId="0" borderId="0" xfId="0" applyFont="1" applyAlignment="1" applyProtection="1">
      <alignment vertical="center"/>
      <protection/>
    </xf>
    <xf numFmtId="0" fontId="6" fillId="0" borderId="0" xfId="0" applyFont="1" applyAlignment="1" applyProtection="1">
      <alignment/>
      <protection/>
    </xf>
    <xf numFmtId="0" fontId="7" fillId="32" borderId="21" xfId="0" applyFont="1" applyFill="1" applyBorder="1" applyAlignment="1" applyProtection="1">
      <alignment vertical="center" wrapText="1"/>
      <protection/>
    </xf>
    <xf numFmtId="0" fontId="18" fillId="32" borderId="21"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11" fillId="36" borderId="49" xfId="0" applyFont="1" applyFill="1" applyBorder="1" applyAlignment="1" applyProtection="1">
      <alignment vertical="center" wrapText="1"/>
      <protection/>
    </xf>
    <xf numFmtId="0" fontId="11" fillId="36" borderId="38" xfId="0" applyFont="1" applyFill="1" applyBorder="1" applyAlignment="1" applyProtection="1">
      <alignment vertical="center" wrapText="1"/>
      <protection/>
    </xf>
    <xf numFmtId="4" fontId="11" fillId="36" borderId="38" xfId="0" applyNumberFormat="1" applyFont="1" applyFill="1" applyBorder="1" applyAlignment="1" applyProtection="1">
      <alignment horizontal="right" vertical="center" wrapText="1" indent="1"/>
      <protection/>
    </xf>
    <xf numFmtId="0" fontId="11" fillId="36" borderId="51" xfId="0" applyFont="1" applyFill="1" applyBorder="1" applyAlignment="1" applyProtection="1">
      <alignment vertical="center" wrapText="1"/>
      <protection/>
    </xf>
    <xf numFmtId="0" fontId="7" fillId="0" borderId="0" xfId="0" applyFont="1" applyFill="1" applyBorder="1" applyAlignment="1">
      <alignment vertical="center"/>
    </xf>
    <xf numFmtId="49" fontId="0" fillId="36" borderId="49" xfId="0" applyNumberFormat="1" applyFont="1" applyFill="1" applyBorder="1" applyAlignment="1" applyProtection="1">
      <alignment horizontal="left" vertical="center" wrapText="1" indent="1"/>
      <protection locked="0"/>
    </xf>
    <xf numFmtId="49" fontId="0" fillId="36" borderId="39" xfId="0" applyNumberFormat="1" applyFont="1" applyFill="1" applyBorder="1" applyAlignment="1" applyProtection="1">
      <alignment horizontal="left" vertical="center" wrapText="1" indent="1"/>
      <protection locked="0"/>
    </xf>
    <xf numFmtId="49" fontId="0" fillId="36" borderId="50" xfId="0" applyNumberFormat="1" applyFont="1" applyFill="1" applyBorder="1" applyAlignment="1" applyProtection="1">
      <alignment horizontal="left" vertical="center" wrapText="1" indent="1"/>
      <protection locked="0"/>
    </xf>
    <xf numFmtId="0" fontId="0" fillId="36" borderId="49" xfId="0" applyFont="1" applyFill="1" applyBorder="1" applyAlignment="1" applyProtection="1">
      <alignment horizontal="left" vertical="center" wrapText="1" indent="1"/>
      <protection locked="0"/>
    </xf>
    <xf numFmtId="0" fontId="0" fillId="36" borderId="39" xfId="0" applyFont="1" applyFill="1" applyBorder="1" applyAlignment="1" applyProtection="1">
      <alignment horizontal="left" vertical="center" wrapText="1" indent="1"/>
      <protection locked="0"/>
    </xf>
    <xf numFmtId="0" fontId="0" fillId="36" borderId="50" xfId="0" applyFont="1" applyFill="1" applyBorder="1" applyAlignment="1" applyProtection="1">
      <alignment horizontal="left" vertical="center" wrapText="1" indent="1"/>
      <protection locked="0"/>
    </xf>
    <xf numFmtId="0" fontId="9" fillId="36" borderId="49" xfId="0" applyFont="1" applyFill="1" applyBorder="1" applyAlignment="1" applyProtection="1">
      <alignment horizontal="left" vertical="center" wrapText="1" indent="1"/>
      <protection locked="0"/>
    </xf>
    <xf numFmtId="0" fontId="0" fillId="36" borderId="38" xfId="0" applyNumberFormat="1" applyFont="1" applyFill="1" applyBorder="1" applyAlignment="1" applyProtection="1">
      <alignment horizontal="center" vertical="center" wrapText="1"/>
      <protection locked="0"/>
    </xf>
    <xf numFmtId="0" fontId="9" fillId="36" borderId="39" xfId="0" applyFont="1" applyFill="1" applyBorder="1" applyAlignment="1" applyProtection="1">
      <alignment horizontal="left" vertical="center" wrapText="1" indent="1"/>
      <protection locked="0"/>
    </xf>
    <xf numFmtId="0" fontId="0" fillId="36" borderId="40" xfId="0" applyNumberFormat="1" applyFont="1" applyFill="1" applyBorder="1" applyAlignment="1" applyProtection="1">
      <alignment horizontal="center" vertical="center" wrapText="1"/>
      <protection locked="0"/>
    </xf>
    <xf numFmtId="49" fontId="10" fillId="0" borderId="0" xfId="0" applyNumberFormat="1" applyFont="1" applyBorder="1" applyAlignment="1">
      <alignment/>
    </xf>
    <xf numFmtId="0" fontId="3"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xf>
    <xf numFmtId="0" fontId="1" fillId="0" borderId="0" xfId="0" applyFont="1" applyFill="1" applyAlignment="1">
      <alignment/>
    </xf>
    <xf numFmtId="0" fontId="30" fillId="0" borderId="0" xfId="0" applyFont="1" applyFill="1" applyAlignment="1">
      <alignment horizontal="left"/>
    </xf>
    <xf numFmtId="0" fontId="1" fillId="0" borderId="0" xfId="0" applyFont="1" applyFill="1" applyAlignment="1">
      <alignment/>
    </xf>
    <xf numFmtId="0" fontId="49" fillId="0" borderId="0" xfId="0" applyFont="1" applyFill="1" applyAlignment="1">
      <alignment/>
    </xf>
    <xf numFmtId="0" fontId="71" fillId="0" borderId="0" xfId="0" applyFont="1" applyFill="1" applyAlignment="1">
      <alignment wrapText="1"/>
    </xf>
    <xf numFmtId="0" fontId="1" fillId="0" borderId="0" xfId="0" applyFont="1" applyFill="1" applyAlignment="1">
      <alignment wrapText="1"/>
    </xf>
    <xf numFmtId="0" fontId="11" fillId="0" borderId="0" xfId="0" applyFont="1" applyFill="1" applyAlignment="1">
      <alignment/>
    </xf>
    <xf numFmtId="0" fontId="50" fillId="0" borderId="0" xfId="0" applyFont="1" applyFill="1" applyAlignment="1">
      <alignment/>
    </xf>
    <xf numFmtId="0" fontId="11" fillId="0" borderId="0" xfId="0" applyFont="1" applyFill="1" applyAlignment="1">
      <alignment/>
    </xf>
    <xf numFmtId="0" fontId="10" fillId="0" borderId="0" xfId="0" applyFont="1" applyFill="1" applyAlignment="1">
      <alignment/>
    </xf>
    <xf numFmtId="0" fontId="2" fillId="0" borderId="0" xfId="0" applyFont="1" applyFill="1" applyAlignment="1">
      <alignment/>
    </xf>
    <xf numFmtId="0" fontId="30" fillId="44" borderId="0" xfId="0" applyFont="1" applyFill="1" applyAlignment="1">
      <alignment horizontal="left"/>
    </xf>
    <xf numFmtId="0" fontId="78" fillId="0" borderId="0" xfId="0" applyFont="1" applyFill="1" applyAlignment="1">
      <alignment vertical="center"/>
    </xf>
    <xf numFmtId="0" fontId="0" fillId="36" borderId="0" xfId="0" applyFont="1" applyFill="1" applyBorder="1" applyAlignment="1">
      <alignment/>
    </xf>
    <xf numFmtId="0" fontId="71" fillId="0" borderId="21" xfId="0" applyFont="1" applyFill="1" applyBorder="1" applyAlignment="1">
      <alignment wrapText="1"/>
    </xf>
    <xf numFmtId="0" fontId="51" fillId="0" borderId="20" xfId="0" applyFont="1" applyFill="1" applyBorder="1" applyAlignment="1">
      <alignment horizontal="center" vertical="center"/>
    </xf>
    <xf numFmtId="0" fontId="9" fillId="0" borderId="75" xfId="0" applyFont="1" applyBorder="1" applyAlignment="1">
      <alignment horizontal="center" vertical="center" wrapText="1"/>
    </xf>
    <xf numFmtId="0" fontId="10" fillId="36" borderId="46" xfId="0" applyFont="1" applyFill="1" applyBorder="1" applyAlignment="1" applyProtection="1">
      <alignment horizontal="left" vertical="center" wrapText="1"/>
      <protection locked="0"/>
    </xf>
    <xf numFmtId="0" fontId="10" fillId="36" borderId="47" xfId="0" applyFont="1" applyFill="1" applyBorder="1" applyAlignment="1" applyProtection="1">
      <alignment horizontal="left" vertical="center" wrapText="1"/>
      <protection locked="0"/>
    </xf>
    <xf numFmtId="0" fontId="10" fillId="0" borderId="46" xfId="0" applyFont="1" applyBorder="1" applyAlignment="1">
      <alignment vertical="center" wrapText="1"/>
    </xf>
    <xf numFmtId="3" fontId="7" fillId="32" borderId="43" xfId="0" applyNumberFormat="1" applyFont="1" applyFill="1" applyBorder="1" applyAlignment="1">
      <alignment horizontal="right" vertical="center" wrapText="1" indent="1"/>
    </xf>
    <xf numFmtId="3" fontId="7" fillId="32" borderId="44" xfId="0" applyNumberFormat="1" applyFont="1" applyFill="1" applyBorder="1" applyAlignment="1">
      <alignment horizontal="right" vertical="center" wrapText="1" indent="1"/>
    </xf>
    <xf numFmtId="0" fontId="10" fillId="0" borderId="48" xfId="0" applyFont="1" applyBorder="1" applyAlignment="1">
      <alignment vertical="center" wrapText="1"/>
    </xf>
    <xf numFmtId="3" fontId="7" fillId="32" borderId="45" xfId="0" applyNumberFormat="1" applyFont="1" applyFill="1" applyBorder="1" applyAlignment="1">
      <alignment horizontal="right" vertical="center" wrapText="1" indent="1"/>
    </xf>
    <xf numFmtId="0" fontId="21" fillId="0" borderId="34" xfId="0" applyFont="1" applyBorder="1" applyAlignment="1">
      <alignment/>
    </xf>
    <xf numFmtId="0" fontId="9" fillId="32" borderId="88" xfId="0" applyFont="1" applyFill="1" applyBorder="1" applyAlignment="1">
      <alignment vertical="center" wrapText="1"/>
    </xf>
    <xf numFmtId="3" fontId="9" fillId="32" borderId="88" xfId="0" applyNumberFormat="1" applyFont="1" applyFill="1" applyBorder="1" applyAlignment="1">
      <alignment horizontal="center" vertical="center" wrapText="1"/>
    </xf>
    <xf numFmtId="0" fontId="9" fillId="32" borderId="88" xfId="0" applyFont="1" applyFill="1" applyBorder="1" applyAlignment="1">
      <alignment horizontal="center" vertical="center" wrapText="1"/>
    </xf>
    <xf numFmtId="3" fontId="14" fillId="32" borderId="88" xfId="0" applyNumberFormat="1" applyFont="1" applyFill="1" applyBorder="1" applyAlignment="1">
      <alignment horizontal="center" vertical="center"/>
    </xf>
    <xf numFmtId="181" fontId="7" fillId="32" borderId="88" xfId="46" applyNumberFormat="1" applyFont="1" applyFill="1" applyBorder="1" applyAlignment="1">
      <alignment vertical="center" wrapText="1"/>
    </xf>
    <xf numFmtId="0" fontId="3" fillId="0" borderId="33" xfId="0" applyFont="1" applyBorder="1" applyAlignment="1">
      <alignment/>
    </xf>
    <xf numFmtId="0" fontId="15" fillId="0" borderId="34" xfId="0" applyFont="1" applyBorder="1" applyAlignment="1">
      <alignment/>
    </xf>
    <xf numFmtId="0" fontId="15" fillId="0" borderId="0" xfId="0" applyFont="1" applyBorder="1" applyAlignment="1">
      <alignment/>
    </xf>
    <xf numFmtId="0" fontId="10" fillId="36" borderId="48" xfId="0" applyFont="1" applyFill="1" applyBorder="1" applyAlignment="1" applyProtection="1">
      <alignment horizontal="left" vertical="center" wrapText="1"/>
      <protection locked="0"/>
    </xf>
    <xf numFmtId="0" fontId="10" fillId="32" borderId="89" xfId="0" applyFont="1" applyFill="1" applyBorder="1" applyAlignment="1">
      <alignment horizontal="center" vertical="center" wrapText="1"/>
    </xf>
    <xf numFmtId="3" fontId="18" fillId="32" borderId="43" xfId="0" applyNumberFormat="1" applyFont="1" applyFill="1" applyBorder="1" applyAlignment="1">
      <alignment horizontal="right" vertical="center" wrapText="1" indent="1"/>
    </xf>
    <xf numFmtId="3" fontId="18" fillId="32" borderId="44" xfId="0" applyNumberFormat="1" applyFont="1" applyFill="1" applyBorder="1" applyAlignment="1">
      <alignment horizontal="right" vertical="center" wrapText="1" indent="1"/>
    </xf>
    <xf numFmtId="3" fontId="18" fillId="32" borderId="90" xfId="0" applyNumberFormat="1" applyFont="1" applyFill="1" applyBorder="1" applyAlignment="1">
      <alignment horizontal="right" vertical="center" wrapText="1" indent="1"/>
    </xf>
    <xf numFmtId="3" fontId="7" fillId="0" borderId="0" xfId="0" applyNumberFormat="1" applyFont="1" applyFill="1" applyBorder="1" applyAlignment="1">
      <alignment horizontal="right" vertical="center" wrapText="1" inden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indent="1"/>
    </xf>
    <xf numFmtId="0" fontId="23" fillId="0" borderId="34" xfId="0" applyFont="1" applyBorder="1" applyAlignment="1">
      <alignment/>
    </xf>
    <xf numFmtId="0" fontId="23" fillId="0" borderId="0" xfId="0" applyFont="1" applyBorder="1" applyAlignment="1">
      <alignment/>
    </xf>
    <xf numFmtId="0" fontId="0" fillId="0" borderId="91" xfId="0" applyFont="1" applyBorder="1" applyAlignment="1">
      <alignment horizontal="center"/>
    </xf>
    <xf numFmtId="0" fontId="0" fillId="0" borderId="92" xfId="0" applyFont="1" applyBorder="1" applyAlignment="1">
      <alignment horizontal="center"/>
    </xf>
    <xf numFmtId="0" fontId="0" fillId="36" borderId="93" xfId="0" applyFont="1" applyFill="1" applyBorder="1" applyAlignment="1">
      <alignment/>
    </xf>
    <xf numFmtId="0" fontId="0" fillId="36" borderId="93" xfId="0" applyFont="1" applyFill="1" applyBorder="1" applyAlignment="1">
      <alignment horizontal="center"/>
    </xf>
    <xf numFmtId="189" fontId="0" fillId="36" borderId="94" xfId="48" applyNumberFormat="1" applyFont="1" applyFill="1" applyBorder="1" applyAlignment="1">
      <alignment horizontal="right"/>
    </xf>
    <xf numFmtId="0" fontId="3" fillId="0" borderId="95" xfId="0" applyFont="1" applyBorder="1" applyAlignment="1">
      <alignment vertical="center"/>
    </xf>
    <xf numFmtId="0" fontId="9" fillId="0" borderId="75" xfId="0" applyFont="1" applyBorder="1" applyAlignment="1">
      <alignment vertical="center" wrapText="1"/>
    </xf>
    <xf numFmtId="0" fontId="11" fillId="0" borderId="34" xfId="0" applyFont="1" applyBorder="1" applyAlignment="1">
      <alignment horizontal="center"/>
    </xf>
    <xf numFmtId="189" fontId="30" fillId="0" borderId="35" xfId="48" applyNumberFormat="1" applyFont="1" applyBorder="1" applyAlignment="1">
      <alignment horizontal="right"/>
    </xf>
    <xf numFmtId="0" fontId="2" fillId="32" borderId="95" xfId="0" applyFont="1" applyFill="1" applyBorder="1" applyAlignment="1">
      <alignment vertical="center"/>
    </xf>
    <xf numFmtId="0" fontId="2" fillId="32" borderId="75" xfId="0" applyFont="1" applyFill="1" applyBorder="1" applyAlignment="1">
      <alignment horizontal="left" vertical="center"/>
    </xf>
    <xf numFmtId="3" fontId="8" fillId="32" borderId="75" xfId="48" applyNumberFormat="1" applyFont="1" applyFill="1" applyBorder="1" applyAlignment="1">
      <alignment vertical="center"/>
    </xf>
    <xf numFmtId="2" fontId="8" fillId="32" borderId="75" xfId="48" applyNumberFormat="1" applyFont="1" applyFill="1" applyBorder="1" applyAlignment="1">
      <alignment vertical="center"/>
    </xf>
    <xf numFmtId="0" fontId="11" fillId="0" borderId="0" xfId="0" applyFont="1" applyFill="1" applyBorder="1" applyAlignment="1">
      <alignment vertical="center"/>
    </xf>
    <xf numFmtId="0" fontId="9" fillId="0" borderId="50" xfId="0" applyFont="1" applyFill="1" applyBorder="1" applyAlignment="1">
      <alignment vertical="center" wrapText="1"/>
    </xf>
    <xf numFmtId="0" fontId="0" fillId="36" borderId="81" xfId="0" applyFont="1" applyFill="1" applyBorder="1" applyAlignment="1" applyProtection="1">
      <alignment vertical="center" wrapText="1"/>
      <protection locked="0"/>
    </xf>
    <xf numFmtId="0" fontId="0" fillId="36" borderId="82" xfId="0" applyFont="1" applyFill="1" applyBorder="1" applyAlignment="1" applyProtection="1">
      <alignment vertical="center" wrapText="1"/>
      <protection locked="0"/>
    </xf>
    <xf numFmtId="49" fontId="0" fillId="36" borderId="81" xfId="0" applyNumberFormat="1" applyFont="1" applyFill="1" applyBorder="1" applyAlignment="1" applyProtection="1">
      <alignment horizontal="left" vertical="center" wrapText="1"/>
      <protection locked="0"/>
    </xf>
    <xf numFmtId="49" fontId="0" fillId="36" borderId="82" xfId="0" applyNumberFormat="1" applyFont="1" applyFill="1" applyBorder="1" applyAlignment="1" applyProtection="1">
      <alignment vertical="center" wrapText="1"/>
      <protection locked="0"/>
    </xf>
    <xf numFmtId="0" fontId="0" fillId="36" borderId="83" xfId="0" applyFont="1" applyFill="1" applyBorder="1" applyAlignment="1" applyProtection="1">
      <alignment vertical="center" wrapText="1"/>
      <protection locked="0"/>
    </xf>
    <xf numFmtId="49" fontId="0" fillId="36" borderId="83" xfId="0" applyNumberFormat="1" applyFont="1" applyFill="1" applyBorder="1" applyAlignment="1" applyProtection="1">
      <alignment vertical="center" wrapText="1"/>
      <protection locked="0"/>
    </xf>
    <xf numFmtId="0" fontId="10" fillId="36" borderId="0" xfId="0" applyFont="1" applyFill="1" applyBorder="1" applyAlignment="1">
      <alignment/>
    </xf>
    <xf numFmtId="0" fontId="10" fillId="36" borderId="0" xfId="0" applyFont="1" applyFill="1" applyBorder="1" applyAlignment="1" applyProtection="1">
      <alignment/>
      <protection locked="0"/>
    </xf>
    <xf numFmtId="0" fontId="0" fillId="36" borderId="0" xfId="0" applyFill="1" applyBorder="1" applyAlignment="1">
      <alignment/>
    </xf>
    <xf numFmtId="0" fontId="22" fillId="0" borderId="0" xfId="0" applyFont="1" applyFill="1" applyAlignment="1">
      <alignment horizontal="left"/>
    </xf>
    <xf numFmtId="0" fontId="2" fillId="32" borderId="33" xfId="0" applyFont="1" applyFill="1" applyBorder="1" applyAlignment="1">
      <alignment wrapText="1"/>
    </xf>
    <xf numFmtId="0" fontId="10" fillId="32" borderId="33" xfId="0" applyFont="1" applyFill="1" applyBorder="1" applyAlignment="1">
      <alignment horizontal="center" vertical="center" wrapText="1"/>
    </xf>
    <xf numFmtId="3" fontId="0" fillId="32" borderId="44" xfId="0" applyNumberFormat="1" applyFont="1" applyFill="1" applyBorder="1" applyAlignment="1">
      <alignment horizontal="right" vertical="center" wrapText="1" indent="1"/>
    </xf>
    <xf numFmtId="0" fontId="15" fillId="0" borderId="34" xfId="0" applyFont="1" applyBorder="1" applyAlignment="1">
      <alignment vertical="center"/>
    </xf>
    <xf numFmtId="0" fontId="15" fillId="0" borderId="0"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3" fontId="3" fillId="32" borderId="56" xfId="0" applyNumberFormat="1" applyFont="1" applyFill="1" applyBorder="1" applyAlignment="1">
      <alignment horizontal="center" vertical="center" wrapText="1"/>
    </xf>
    <xf numFmtId="0" fontId="9" fillId="0" borderId="67" xfId="0" applyFont="1" applyBorder="1" applyAlignment="1">
      <alignment horizontal="center" vertical="center" wrapText="1"/>
    </xf>
    <xf numFmtId="0" fontId="9" fillId="0" borderId="69" xfId="0" applyFont="1" applyBorder="1" applyAlignment="1">
      <alignment horizontal="center" vertical="center" wrapText="1"/>
    </xf>
    <xf numFmtId="49" fontId="7" fillId="36" borderId="96" xfId="0" applyNumberFormat="1" applyFont="1" applyFill="1" applyBorder="1" applyAlignment="1" applyProtection="1">
      <alignment horizontal="center" vertical="center" wrapText="1"/>
      <protection locked="0"/>
    </xf>
    <xf numFmtId="49" fontId="7" fillId="36" borderId="97" xfId="0" applyNumberFormat="1" applyFont="1" applyFill="1" applyBorder="1" applyAlignment="1" applyProtection="1">
      <alignment horizontal="center" vertical="center" wrapText="1"/>
      <protection locked="0"/>
    </xf>
    <xf numFmtId="49" fontId="7" fillId="36" borderId="98" xfId="0" applyNumberFormat="1" applyFont="1" applyFill="1" applyBorder="1" applyAlignment="1" applyProtection="1">
      <alignment horizontal="center" vertical="center" wrapText="1"/>
      <protection locked="0"/>
    </xf>
    <xf numFmtId="0" fontId="10" fillId="36" borderId="96" xfId="0" applyFont="1" applyFill="1" applyBorder="1" applyAlignment="1" applyProtection="1">
      <alignment horizontal="center" vertical="center" wrapText="1"/>
      <protection locked="0"/>
    </xf>
    <xf numFmtId="0" fontId="10" fillId="36" borderId="97" xfId="0" applyFont="1" applyFill="1" applyBorder="1" applyAlignment="1" applyProtection="1">
      <alignment horizontal="center" vertical="center" wrapText="1"/>
      <protection locked="0"/>
    </xf>
    <xf numFmtId="0" fontId="10" fillId="36" borderId="98" xfId="0" applyFont="1" applyFill="1" applyBorder="1" applyAlignment="1" applyProtection="1">
      <alignment horizontal="center" vertical="center" wrapText="1"/>
      <protection locked="0"/>
    </xf>
    <xf numFmtId="0" fontId="14" fillId="0" borderId="67" xfId="0" applyFont="1" applyBorder="1" applyAlignment="1">
      <alignment horizontal="center" vertical="center" wrapText="1"/>
    </xf>
    <xf numFmtId="49" fontId="10" fillId="32" borderId="99" xfId="0" applyNumberFormat="1" applyFont="1" applyFill="1" applyBorder="1" applyAlignment="1">
      <alignment horizontal="center" vertical="center"/>
    </xf>
    <xf numFmtId="0" fontId="14" fillId="0" borderId="100" xfId="0" applyFont="1" applyBorder="1" applyAlignment="1">
      <alignment horizontal="center" vertical="center" wrapText="1"/>
    </xf>
    <xf numFmtId="49" fontId="10" fillId="32" borderId="101" xfId="0" applyNumberFormat="1" applyFont="1" applyFill="1" applyBorder="1" applyAlignment="1">
      <alignment horizontal="center" vertical="center"/>
    </xf>
    <xf numFmtId="0" fontId="64" fillId="0" borderId="0" xfId="0" applyFont="1" applyAlignment="1">
      <alignment horizontal="center"/>
    </xf>
    <xf numFmtId="0" fontId="68" fillId="0" borderId="0" xfId="0" applyFont="1" applyFill="1" applyBorder="1" applyAlignment="1">
      <alignment/>
    </xf>
    <xf numFmtId="1" fontId="11" fillId="36" borderId="50" xfId="0" applyNumberFormat="1" applyFont="1" applyFill="1" applyBorder="1" applyAlignment="1" applyProtection="1">
      <alignment horizontal="center" vertical="center" wrapText="1"/>
      <protection locked="0"/>
    </xf>
    <xf numFmtId="0" fontId="9" fillId="36" borderId="40" xfId="0" applyNumberFormat="1" applyFont="1" applyFill="1" applyBorder="1" applyAlignment="1" applyProtection="1">
      <alignment horizontal="center" vertical="center"/>
      <protection locked="0"/>
    </xf>
    <xf numFmtId="0" fontId="9" fillId="36" borderId="41" xfId="0" applyNumberFormat="1" applyFont="1" applyFill="1" applyBorder="1" applyAlignment="1" applyProtection="1">
      <alignment horizontal="center" vertical="center"/>
      <protection locked="0"/>
    </xf>
    <xf numFmtId="0" fontId="2" fillId="0" borderId="0" xfId="0" applyFont="1" applyFill="1" applyAlignment="1">
      <alignment wrapText="1"/>
    </xf>
    <xf numFmtId="0" fontId="1" fillId="32" borderId="0" xfId="0" applyFont="1" applyFill="1" applyAlignment="1">
      <alignment/>
    </xf>
    <xf numFmtId="0" fontId="1" fillId="32" borderId="0" xfId="0" applyFont="1" applyFill="1" applyAlignment="1">
      <alignment/>
    </xf>
    <xf numFmtId="0" fontId="0" fillId="32" borderId="0" xfId="0" applyFont="1" applyFill="1" applyAlignment="1">
      <alignment/>
    </xf>
    <xf numFmtId="0" fontId="67" fillId="0" borderId="0" xfId="0" applyFont="1" applyFill="1" applyBorder="1" applyAlignment="1">
      <alignment horizontal="left"/>
    </xf>
    <xf numFmtId="0" fontId="6" fillId="0" borderId="32" xfId="0" applyFont="1" applyBorder="1" applyAlignment="1">
      <alignment/>
    </xf>
    <xf numFmtId="0" fontId="6" fillId="0" borderId="0" xfId="0" applyFont="1" applyBorder="1" applyAlignment="1">
      <alignment/>
    </xf>
    <xf numFmtId="0" fontId="10" fillId="0" borderId="102" xfId="0" applyFont="1" applyBorder="1" applyAlignment="1">
      <alignment vertical="center" wrapText="1"/>
    </xf>
    <xf numFmtId="0" fontId="14" fillId="0" borderId="79" xfId="0" applyFont="1" applyBorder="1" applyAlignment="1">
      <alignment horizontal="center" vertical="center" wrapText="1"/>
    </xf>
    <xf numFmtId="0" fontId="34" fillId="0" borderId="0" xfId="0" applyFont="1" applyFill="1" applyAlignment="1">
      <alignment horizontal="center"/>
    </xf>
    <xf numFmtId="0" fontId="9" fillId="0" borderId="100" xfId="0" applyFont="1" applyBorder="1" applyAlignment="1">
      <alignment horizontal="center" vertical="center" wrapText="1"/>
    </xf>
    <xf numFmtId="0" fontId="67" fillId="45" borderId="25" xfId="0" applyFont="1" applyFill="1" applyBorder="1" applyAlignment="1">
      <alignment/>
    </xf>
    <xf numFmtId="49" fontId="1" fillId="45" borderId="103" xfId="0" applyNumberFormat="1" applyFont="1" applyFill="1" applyBorder="1" applyAlignment="1">
      <alignment horizontal="left" vertical="top" wrapText="1"/>
    </xf>
    <xf numFmtId="49" fontId="1" fillId="45" borderId="104" xfId="0" applyNumberFormat="1" applyFont="1" applyFill="1" applyBorder="1" applyAlignment="1">
      <alignment horizontal="left" vertical="top" wrapText="1"/>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Alignment="1">
      <alignment/>
    </xf>
    <xf numFmtId="0" fontId="1" fillId="36" borderId="81" xfId="0" applyFont="1" applyFill="1" applyBorder="1" applyAlignment="1" applyProtection="1">
      <alignment vertical="center" wrapText="1"/>
      <protection locked="0"/>
    </xf>
    <xf numFmtId="0" fontId="1" fillId="36" borderId="83" xfId="0" applyFont="1" applyFill="1" applyBorder="1" applyAlignment="1" applyProtection="1">
      <alignment vertical="center" wrapText="1"/>
      <protection locked="0"/>
    </xf>
    <xf numFmtId="0" fontId="84" fillId="0" borderId="0" xfId="0" applyFont="1" applyFill="1" applyBorder="1" applyAlignment="1">
      <alignment/>
    </xf>
    <xf numFmtId="0" fontId="84" fillId="0" borderId="0" xfId="0" applyFont="1" applyFill="1" applyBorder="1" applyAlignment="1" applyProtection="1">
      <alignment/>
      <protection/>
    </xf>
    <xf numFmtId="0" fontId="85" fillId="0" borderId="0" xfId="0" applyFont="1" applyFill="1" applyBorder="1" applyAlignment="1">
      <alignment/>
    </xf>
    <xf numFmtId="0" fontId="71" fillId="0" borderId="0" xfId="0" applyFont="1" applyAlignment="1">
      <alignment/>
    </xf>
    <xf numFmtId="0" fontId="0" fillId="36" borderId="105" xfId="0" applyFont="1" applyFill="1" applyBorder="1" applyAlignment="1">
      <alignment horizontal="center"/>
    </xf>
    <xf numFmtId="0" fontId="0" fillId="36" borderId="105" xfId="0" applyFont="1" applyFill="1" applyBorder="1" applyAlignment="1">
      <alignment/>
    </xf>
    <xf numFmtId="0" fontId="11" fillId="0" borderId="75" xfId="0" applyFont="1" applyBorder="1" applyAlignment="1">
      <alignment/>
    </xf>
    <xf numFmtId="0" fontId="11" fillId="0" borderId="75" xfId="0" applyFont="1" applyBorder="1" applyAlignment="1">
      <alignment horizontal="center"/>
    </xf>
    <xf numFmtId="0" fontId="0" fillId="36" borderId="106" xfId="60" applyNumberFormat="1" applyFont="1" applyFill="1" applyBorder="1" applyAlignment="1">
      <alignment horizontal="right"/>
    </xf>
    <xf numFmtId="3" fontId="0" fillId="36" borderId="78" xfId="60" applyNumberFormat="1" applyFont="1" applyFill="1" applyBorder="1" applyAlignment="1">
      <alignment horizontal="right"/>
    </xf>
    <xf numFmtId="222" fontId="0" fillId="36" borderId="77" xfId="48" applyNumberFormat="1" applyFont="1" applyFill="1" applyBorder="1" applyAlignment="1">
      <alignment/>
    </xf>
    <xf numFmtId="222" fontId="0" fillId="36" borderId="107" xfId="48" applyNumberFormat="1" applyFont="1" applyFill="1" applyBorder="1" applyAlignment="1">
      <alignment/>
    </xf>
    <xf numFmtId="0" fontId="11" fillId="0" borderId="0" xfId="0" applyFont="1" applyFill="1" applyBorder="1" applyAlignment="1">
      <alignment horizontal="center"/>
    </xf>
    <xf numFmtId="0" fontId="9" fillId="0" borderId="76" xfId="0" applyFont="1" applyBorder="1" applyAlignment="1">
      <alignment vertical="center" wrapText="1"/>
    </xf>
    <xf numFmtId="4" fontId="9" fillId="39" borderId="65" xfId="0" applyNumberFormat="1" applyFont="1" applyFill="1" applyBorder="1" applyAlignment="1">
      <alignment horizontal="center" vertical="center" wrapText="1"/>
    </xf>
    <xf numFmtId="0" fontId="9" fillId="0" borderId="108" xfId="0" applyFont="1" applyBorder="1" applyAlignment="1">
      <alignment horizontal="center" vertical="center" wrapText="1"/>
    </xf>
    <xf numFmtId="49" fontId="9" fillId="36" borderId="108" xfId="0" applyNumberFormat="1" applyFont="1" applyFill="1" applyBorder="1" applyAlignment="1" applyProtection="1">
      <alignment horizontal="center" vertical="center"/>
      <protection locked="0"/>
    </xf>
    <xf numFmtId="4" fontId="9" fillId="39" borderId="108" xfId="0" applyNumberFormat="1" applyFont="1" applyFill="1" applyBorder="1" applyAlignment="1">
      <alignment horizontal="center" vertical="center" wrapText="1"/>
    </xf>
    <xf numFmtId="49" fontId="10" fillId="32" borderId="69" xfId="0" applyNumberFormat="1" applyFont="1" applyFill="1" applyBorder="1" applyAlignment="1">
      <alignment horizontal="center" vertical="center"/>
    </xf>
    <xf numFmtId="0" fontId="9" fillId="0" borderId="50" xfId="0" applyFont="1" applyFill="1" applyBorder="1" applyAlignment="1" applyProtection="1">
      <alignment vertical="center" wrapText="1"/>
      <protection locked="0"/>
    </xf>
    <xf numFmtId="0" fontId="9" fillId="0" borderId="41" xfId="0" applyFont="1" applyFill="1" applyBorder="1" applyAlignment="1" applyProtection="1">
      <alignment horizontal="center" vertical="center" wrapText="1"/>
      <protection locked="0"/>
    </xf>
    <xf numFmtId="4" fontId="9" fillId="0" borderId="41" xfId="0" applyNumberFormat="1" applyFont="1" applyFill="1" applyBorder="1" applyAlignment="1" applyProtection="1">
      <alignment horizontal="center" vertical="center" wrapText="1"/>
      <protection locked="0"/>
    </xf>
    <xf numFmtId="14" fontId="11" fillId="34" borderId="29" xfId="0" applyNumberFormat="1" applyFont="1" applyFill="1" applyBorder="1" applyAlignment="1">
      <alignment horizontal="center"/>
    </xf>
    <xf numFmtId="0" fontId="18" fillId="0" borderId="87" xfId="0" applyNumberFormat="1" applyFont="1" applyFill="1" applyBorder="1" applyAlignment="1">
      <alignment horizontal="right" vertical="center" wrapText="1" indent="1"/>
    </xf>
    <xf numFmtId="0" fontId="9" fillId="36" borderId="40" xfId="0" applyFont="1" applyFill="1" applyBorder="1" applyAlignment="1" applyProtection="1">
      <alignment horizontal="center" vertical="center"/>
      <protection locked="0"/>
    </xf>
    <xf numFmtId="0" fontId="9" fillId="36" borderId="41" xfId="0" applyFont="1" applyFill="1" applyBorder="1" applyAlignment="1" applyProtection="1">
      <alignment horizontal="center" vertical="center"/>
      <protection locked="0"/>
    </xf>
    <xf numFmtId="4" fontId="0" fillId="32" borderId="80" xfId="0" applyNumberFormat="1" applyFont="1" applyFill="1" applyBorder="1" applyAlignment="1">
      <alignment horizontal="center" vertical="center" wrapText="1"/>
    </xf>
    <xf numFmtId="0" fontId="3" fillId="32" borderId="33" xfId="0" applyFont="1" applyFill="1" applyBorder="1" applyAlignment="1">
      <alignment vertical="center" wrapText="1"/>
    </xf>
    <xf numFmtId="0" fontId="0" fillId="32" borderId="30" xfId="0" applyFont="1" applyFill="1" applyBorder="1" applyAlignment="1">
      <alignment horizontal="center" vertical="center"/>
    </xf>
    <xf numFmtId="0" fontId="7" fillId="32" borderId="109" xfId="0" applyFont="1" applyFill="1" applyBorder="1" applyAlignment="1">
      <alignment vertical="center" wrapText="1"/>
    </xf>
    <xf numFmtId="0" fontId="0" fillId="46" borderId="24" xfId="0" applyFill="1" applyBorder="1" applyAlignment="1">
      <alignment/>
    </xf>
    <xf numFmtId="1" fontId="65" fillId="0" borderId="0" xfId="0" applyNumberFormat="1" applyFont="1" applyAlignment="1">
      <alignment/>
    </xf>
    <xf numFmtId="0" fontId="85" fillId="0" borderId="0" xfId="0" applyFont="1" applyFill="1" applyAlignment="1">
      <alignment wrapText="1"/>
    </xf>
    <xf numFmtId="0" fontId="2" fillId="0" borderId="0" xfId="0" applyFont="1" applyAlignment="1">
      <alignment/>
    </xf>
    <xf numFmtId="191" fontId="65" fillId="0" borderId="0" xfId="0" applyNumberFormat="1" applyFont="1" applyAlignment="1">
      <alignment horizontal="left"/>
    </xf>
    <xf numFmtId="0" fontId="87" fillId="0" borderId="0" xfId="0" applyFont="1" applyAlignment="1">
      <alignment/>
    </xf>
    <xf numFmtId="0" fontId="88" fillId="0" borderId="0" xfId="0" applyFont="1" applyFill="1" applyAlignment="1">
      <alignment/>
    </xf>
    <xf numFmtId="0" fontId="51" fillId="0" borderId="0" xfId="0" applyFont="1" applyAlignment="1">
      <alignment horizontal="left"/>
    </xf>
    <xf numFmtId="0" fontId="9" fillId="0" borderId="70" xfId="0" applyFont="1" applyBorder="1" applyAlignment="1">
      <alignment horizontal="center" vertical="center" wrapText="1"/>
    </xf>
    <xf numFmtId="3" fontId="7" fillId="36" borderId="96" xfId="0" applyNumberFormat="1" applyFont="1" applyFill="1" applyBorder="1" applyAlignment="1" applyProtection="1">
      <alignment horizontal="center" vertical="center" wrapText="1"/>
      <protection locked="0"/>
    </xf>
    <xf numFmtId="3" fontId="7" fillId="36" borderId="97" xfId="0" applyNumberFormat="1" applyFont="1" applyFill="1" applyBorder="1" applyAlignment="1" applyProtection="1">
      <alignment horizontal="center" vertical="center" wrapText="1"/>
      <protection locked="0"/>
    </xf>
    <xf numFmtId="3" fontId="7" fillId="36" borderId="98" xfId="0" applyNumberFormat="1" applyFont="1" applyFill="1" applyBorder="1" applyAlignment="1" applyProtection="1">
      <alignment horizontal="center" vertical="center" wrapText="1"/>
      <protection locked="0"/>
    </xf>
    <xf numFmtId="0" fontId="2" fillId="32" borderId="95" xfId="0" applyFont="1" applyFill="1" applyBorder="1" applyAlignment="1">
      <alignment vertical="center" wrapText="1"/>
    </xf>
    <xf numFmtId="0" fontId="2" fillId="32" borderId="75" xfId="0" applyFont="1" applyFill="1" applyBorder="1" applyAlignment="1">
      <alignment vertical="center" wrapText="1"/>
    </xf>
    <xf numFmtId="0" fontId="2" fillId="32" borderId="10" xfId="0" applyFont="1" applyFill="1" applyBorder="1" applyAlignment="1">
      <alignment vertical="center" wrapText="1"/>
    </xf>
    <xf numFmtId="4" fontId="0" fillId="32" borderId="110" xfId="0" applyNumberFormat="1" applyFont="1" applyFill="1" applyBorder="1" applyAlignment="1">
      <alignment horizontal="center" vertical="center" wrapText="1"/>
    </xf>
    <xf numFmtId="0" fontId="0" fillId="32" borderId="24" xfId="0" applyFont="1" applyFill="1" applyBorder="1" applyAlignment="1">
      <alignment/>
    </xf>
    <xf numFmtId="0" fontId="3" fillId="32" borderId="11" xfId="0" applyFont="1" applyFill="1" applyBorder="1" applyAlignment="1">
      <alignment vertical="center" wrapText="1"/>
    </xf>
    <xf numFmtId="0" fontId="10" fillId="32" borderId="25" xfId="0" applyFont="1" applyFill="1" applyBorder="1" applyAlignment="1">
      <alignment horizontal="center" vertical="center" wrapText="1"/>
    </xf>
    <xf numFmtId="0" fontId="10" fillId="32" borderId="104" xfId="0" applyFont="1" applyFill="1" applyBorder="1" applyAlignment="1">
      <alignment horizontal="center" vertical="center" wrapText="1"/>
    </xf>
    <xf numFmtId="3" fontId="0" fillId="32" borderId="74" xfId="0" applyNumberFormat="1" applyFont="1" applyFill="1" applyBorder="1" applyAlignment="1">
      <alignment horizontal="right" vertical="center" wrapText="1" indent="1"/>
    </xf>
    <xf numFmtId="222" fontId="0" fillId="46" borderId="74" xfId="48" applyNumberFormat="1" applyFont="1" applyFill="1" applyBorder="1" applyAlignment="1">
      <alignment/>
    </xf>
    <xf numFmtId="222" fontId="0" fillId="46" borderId="44" xfId="48" applyNumberFormat="1" applyFont="1" applyFill="1" applyBorder="1" applyAlignment="1">
      <alignment/>
    </xf>
    <xf numFmtId="0" fontId="10" fillId="0" borderId="77" xfId="0" applyFont="1" applyBorder="1" applyAlignment="1">
      <alignment horizontal="center" vertical="center" wrapText="1"/>
    </xf>
    <xf numFmtId="0" fontId="9" fillId="45" borderId="111" xfId="0" applyFont="1" applyFill="1" applyBorder="1" applyAlignment="1" applyProtection="1">
      <alignment horizontal="left" vertical="center" wrapText="1" indent="1"/>
      <protection locked="0"/>
    </xf>
    <xf numFmtId="3" fontId="7" fillId="32" borderId="24" xfId="0" applyNumberFormat="1" applyFont="1" applyFill="1" applyBorder="1" applyAlignment="1">
      <alignment horizontal="center" vertical="center" wrapText="1"/>
    </xf>
    <xf numFmtId="3" fontId="10" fillId="36" borderId="97" xfId="0" applyNumberFormat="1" applyFont="1" applyFill="1" applyBorder="1" applyAlignment="1" applyProtection="1">
      <alignment horizontal="center" vertical="center" wrapText="1"/>
      <protection locked="0"/>
    </xf>
    <xf numFmtId="3" fontId="10" fillId="36" borderId="98" xfId="0" applyNumberFormat="1" applyFont="1" applyFill="1" applyBorder="1" applyAlignment="1" applyProtection="1">
      <alignment horizontal="center" vertical="center" wrapText="1"/>
      <protection locked="0"/>
    </xf>
    <xf numFmtId="0" fontId="7" fillId="32" borderId="24" xfId="0" applyFont="1" applyFill="1" applyBorder="1" applyAlignment="1">
      <alignment horizontal="center" vertical="center" wrapText="1"/>
    </xf>
    <xf numFmtId="4" fontId="10" fillId="36" borderId="97" xfId="0" applyNumberFormat="1" applyFont="1" applyFill="1" applyBorder="1" applyAlignment="1" applyProtection="1">
      <alignment horizontal="center" vertical="center"/>
      <protection locked="0"/>
    </xf>
    <xf numFmtId="4" fontId="10" fillId="36" borderId="98" xfId="0" applyNumberFormat="1" applyFont="1" applyFill="1" applyBorder="1" applyAlignment="1" applyProtection="1">
      <alignment horizontal="center" vertical="center"/>
      <protection locked="0"/>
    </xf>
    <xf numFmtId="3" fontId="0" fillId="0" borderId="0" xfId="0" applyNumberFormat="1" applyAlignment="1">
      <alignment/>
    </xf>
    <xf numFmtId="4" fontId="22" fillId="0" borderId="79" xfId="0" applyNumberFormat="1" applyFont="1" applyBorder="1" applyAlignment="1">
      <alignment horizontal="center"/>
    </xf>
    <xf numFmtId="4" fontId="22" fillId="0" borderId="79" xfId="0" applyNumberFormat="1" applyFont="1" applyBorder="1" applyAlignment="1">
      <alignment horizontal="center"/>
    </xf>
    <xf numFmtId="4" fontId="125" fillId="0" borderId="79" xfId="0" applyNumberFormat="1" applyFont="1" applyBorder="1" applyAlignment="1">
      <alignment horizontal="center"/>
    </xf>
    <xf numFmtId="4" fontId="14" fillId="0" borderId="79" xfId="0" applyNumberFormat="1" applyFont="1" applyBorder="1" applyAlignment="1">
      <alignment horizontal="center"/>
    </xf>
    <xf numFmtId="4" fontId="14" fillId="0" borderId="40" xfId="0" applyNumberFormat="1" applyFont="1" applyBorder="1" applyAlignment="1">
      <alignment horizontal="center"/>
    </xf>
    <xf numFmtId="4" fontId="7" fillId="0" borderId="0" xfId="0" applyNumberFormat="1" applyFont="1" applyAlignment="1">
      <alignment/>
    </xf>
    <xf numFmtId="4" fontId="14" fillId="0" borderId="40" xfId="0" applyNumberFormat="1" applyFont="1" applyFill="1" applyBorder="1" applyAlignment="1">
      <alignment horizontal="center"/>
    </xf>
    <xf numFmtId="4" fontId="0" fillId="0" borderId="0" xfId="0" applyNumberFormat="1" applyFill="1" applyAlignment="1">
      <alignment/>
    </xf>
    <xf numFmtId="4" fontId="14" fillId="0" borderId="0" xfId="0" applyNumberFormat="1" applyFont="1" applyFill="1" applyBorder="1" applyAlignment="1">
      <alignment horizontal="center"/>
    </xf>
    <xf numFmtId="4" fontId="22" fillId="0" borderId="0" xfId="0" applyNumberFormat="1" applyFont="1" applyBorder="1" applyAlignment="1">
      <alignment horizontal="center"/>
    </xf>
    <xf numFmtId="4" fontId="14" fillId="0" borderId="0" xfId="0" applyNumberFormat="1" applyFont="1" applyBorder="1" applyAlignment="1">
      <alignment horizontal="center"/>
    </xf>
    <xf numFmtId="4" fontId="0" fillId="0" borderId="0" xfId="48" applyNumberFormat="1" applyFont="1" applyAlignment="1">
      <alignment/>
    </xf>
    <xf numFmtId="4" fontId="0" fillId="0" borderId="0" xfId="0" applyNumberFormat="1" applyBorder="1" applyAlignment="1">
      <alignment/>
    </xf>
    <xf numFmtId="4" fontId="9" fillId="0" borderId="0" xfId="48" applyNumberFormat="1" applyFont="1" applyFill="1" applyBorder="1" applyAlignment="1">
      <alignment horizontal="center"/>
    </xf>
    <xf numFmtId="4" fontId="9" fillId="0" borderId="40" xfId="48" applyNumberFormat="1" applyFont="1" applyBorder="1" applyAlignment="1">
      <alignment horizontal="center"/>
    </xf>
    <xf numFmtId="4" fontId="14" fillId="0" borderId="0" xfId="0" applyNumberFormat="1" applyFont="1" applyAlignment="1">
      <alignment horizontal="center"/>
    </xf>
    <xf numFmtId="4" fontId="126" fillId="46" borderId="74" xfId="0" applyNumberFormat="1" applyFont="1" applyFill="1" applyBorder="1" applyAlignment="1">
      <alignment horizontal="right" vertical="center" wrapText="1" indent="1"/>
    </xf>
    <xf numFmtId="4" fontId="127" fillId="46" borderId="20" xfId="0" applyNumberFormat="1" applyFont="1" applyFill="1" applyBorder="1" applyAlignment="1">
      <alignment horizontal="right" vertical="center" wrapText="1" indent="1"/>
    </xf>
    <xf numFmtId="0" fontId="9" fillId="32" borderId="24" xfId="0" applyFont="1" applyFill="1" applyBorder="1" applyAlignment="1">
      <alignment horizontal="center" vertical="center" wrapText="1"/>
    </xf>
    <xf numFmtId="4" fontId="10" fillId="32" borderId="80" xfId="0" applyNumberFormat="1" applyFont="1" applyFill="1" applyBorder="1" applyAlignment="1">
      <alignment horizontal="center" vertical="center" wrapText="1"/>
    </xf>
    <xf numFmtId="0" fontId="9" fillId="45" borderId="112" xfId="0" applyFont="1" applyFill="1" applyBorder="1" applyAlignment="1" applyProtection="1">
      <alignment horizontal="left" vertical="center" wrapText="1" indent="1"/>
      <protection locked="0"/>
    </xf>
    <xf numFmtId="3" fontId="10" fillId="36" borderId="113" xfId="0" applyNumberFormat="1" applyFont="1" applyFill="1" applyBorder="1" applyAlignment="1" applyProtection="1">
      <alignment horizontal="center" vertical="center" wrapText="1"/>
      <protection locked="0"/>
    </xf>
    <xf numFmtId="0" fontId="10" fillId="0" borderId="107" xfId="0" applyFont="1" applyBorder="1" applyAlignment="1">
      <alignment horizontal="center" vertical="center" wrapText="1"/>
    </xf>
    <xf numFmtId="4" fontId="10" fillId="36" borderId="113" xfId="0" applyNumberFormat="1" applyFont="1" applyFill="1" applyBorder="1" applyAlignment="1" applyProtection="1">
      <alignment horizontal="center" vertical="center"/>
      <protection locked="0"/>
    </xf>
    <xf numFmtId="4" fontId="10" fillId="32" borderId="110" xfId="0" applyNumberFormat="1" applyFont="1" applyFill="1" applyBorder="1" applyAlignment="1">
      <alignment horizontal="center" vertical="center" wrapText="1"/>
    </xf>
    <xf numFmtId="222" fontId="0" fillId="46" borderId="110" xfId="48" applyNumberFormat="1" applyFont="1" applyFill="1" applyBorder="1" applyAlignment="1">
      <alignment vertical="center"/>
    </xf>
    <xf numFmtId="189" fontId="0" fillId="46" borderId="80" xfId="48" applyNumberFormat="1" applyFont="1" applyFill="1" applyBorder="1" applyAlignment="1">
      <alignment vertical="center"/>
    </xf>
    <xf numFmtId="0" fontId="1" fillId="32" borderId="0" xfId="0" applyFont="1" applyFill="1" applyAlignment="1">
      <alignment horizontal="left" wrapText="1"/>
    </xf>
    <xf numFmtId="0" fontId="11" fillId="36" borderId="0" xfId="0" applyFont="1" applyFill="1" applyBorder="1" applyAlignment="1">
      <alignment horizontal="left"/>
    </xf>
    <xf numFmtId="14" fontId="65" fillId="0" borderId="0" xfId="0" applyNumberFormat="1" applyFont="1" applyFill="1" applyBorder="1" applyAlignment="1">
      <alignment horizontal="left"/>
    </xf>
    <xf numFmtId="0" fontId="35" fillId="0" borderId="0" xfId="0" applyFont="1" applyFill="1" applyAlignment="1">
      <alignment horizontal="left"/>
    </xf>
    <xf numFmtId="0" fontId="11" fillId="36" borderId="0" xfId="0" applyFont="1" applyFill="1" applyBorder="1" applyAlignment="1" applyProtection="1">
      <alignment horizontal="left" vertical="center" wrapText="1"/>
      <protection locked="0"/>
    </xf>
    <xf numFmtId="0" fontId="30" fillId="0" borderId="0" xfId="0" applyFont="1" applyAlignment="1">
      <alignment horizontal="left" vertical="center"/>
    </xf>
    <xf numFmtId="0" fontId="0" fillId="0" borderId="0" xfId="0" applyAlignment="1">
      <alignment horizontal="left" vertical="center"/>
    </xf>
    <xf numFmtId="0" fontId="48" fillId="36" borderId="0" xfId="0" applyFont="1" applyFill="1" applyBorder="1" applyAlignment="1" applyProtection="1">
      <alignment horizontal="left" vertical="center"/>
      <protection locked="0"/>
    </xf>
    <xf numFmtId="0" fontId="10" fillId="32" borderId="25" xfId="0" applyFont="1" applyFill="1" applyBorder="1" applyAlignment="1">
      <alignment horizontal="center" vertical="center" wrapText="1"/>
    </xf>
    <xf numFmtId="0" fontId="10" fillId="32" borderId="104" xfId="0" applyFont="1" applyFill="1" applyBorder="1" applyAlignment="1">
      <alignment horizontal="center" vertical="center" wrapText="1"/>
    </xf>
    <xf numFmtId="3" fontId="0" fillId="47" borderId="111" xfId="0" applyNumberFormat="1" applyFont="1" applyFill="1" applyBorder="1" applyAlignment="1" applyProtection="1">
      <alignment horizontal="center" vertical="center" wrapText="1"/>
      <protection locked="0"/>
    </xf>
    <xf numFmtId="3" fontId="0" fillId="47" borderId="77" xfId="0" applyNumberFormat="1" applyFont="1" applyFill="1" applyBorder="1" applyAlignment="1" applyProtection="1">
      <alignment horizontal="center" vertical="center" wrapText="1"/>
      <protection locked="0"/>
    </xf>
    <xf numFmtId="3" fontId="0" fillId="47" borderId="78" xfId="0" applyNumberFormat="1" applyFont="1" applyFill="1" applyBorder="1" applyAlignment="1" applyProtection="1">
      <alignment horizontal="center" vertical="center" wrapText="1"/>
      <protection locked="0"/>
    </xf>
    <xf numFmtId="3" fontId="0" fillId="47" borderId="114" xfId="0" applyNumberFormat="1" applyFont="1" applyFill="1" applyBorder="1" applyAlignment="1" applyProtection="1">
      <alignment horizontal="center" vertical="center" wrapText="1"/>
      <protection locked="0"/>
    </xf>
    <xf numFmtId="3" fontId="0" fillId="47" borderId="115" xfId="0" applyNumberFormat="1" applyFont="1" applyFill="1" applyBorder="1" applyAlignment="1" applyProtection="1">
      <alignment horizontal="center" vertical="center" wrapText="1"/>
      <protection locked="0"/>
    </xf>
    <xf numFmtId="3" fontId="0" fillId="47" borderId="116" xfId="0" applyNumberFormat="1" applyFont="1" applyFill="1" applyBorder="1" applyAlignment="1" applyProtection="1">
      <alignment horizontal="center" vertical="center" wrapText="1"/>
      <protection locked="0"/>
    </xf>
    <xf numFmtId="3" fontId="0" fillId="0" borderId="117" xfId="0" applyNumberFormat="1" applyFont="1" applyFill="1" applyBorder="1" applyAlignment="1" applyProtection="1">
      <alignment horizontal="center" vertical="center" wrapText="1"/>
      <protection/>
    </xf>
    <xf numFmtId="3" fontId="0" fillId="0" borderId="105" xfId="0" applyNumberFormat="1" applyFont="1" applyFill="1" applyBorder="1" applyAlignment="1" applyProtection="1">
      <alignment horizontal="center" vertical="center" wrapText="1"/>
      <protection/>
    </xf>
    <xf numFmtId="3" fontId="0" fillId="0" borderId="111" xfId="0" applyNumberFormat="1" applyFont="1" applyFill="1" applyBorder="1" applyAlignment="1" applyProtection="1">
      <alignment horizontal="center" vertical="center" wrapText="1"/>
      <protection/>
    </xf>
    <xf numFmtId="3" fontId="0" fillId="0" borderId="77" xfId="0" applyNumberFormat="1" applyFont="1" applyFill="1" applyBorder="1" applyAlignment="1" applyProtection="1">
      <alignment horizontal="center" vertical="center" wrapText="1"/>
      <protection/>
    </xf>
    <xf numFmtId="3" fontId="0" fillId="47" borderId="117" xfId="0" applyNumberFormat="1" applyFont="1" applyFill="1" applyBorder="1" applyAlignment="1" applyProtection="1">
      <alignment horizontal="center" vertical="center" wrapText="1"/>
      <protection locked="0"/>
    </xf>
    <xf numFmtId="3" fontId="0" fillId="47" borderId="105" xfId="0" applyNumberFormat="1" applyFont="1" applyFill="1" applyBorder="1" applyAlignment="1" applyProtection="1">
      <alignment horizontal="center" vertical="center" wrapText="1"/>
      <protection locked="0"/>
    </xf>
    <xf numFmtId="3" fontId="0" fillId="47" borderId="106" xfId="0" applyNumberFormat="1" applyFont="1" applyFill="1" applyBorder="1" applyAlignment="1" applyProtection="1">
      <alignment horizontal="center" vertical="center" wrapText="1"/>
      <protection locked="0"/>
    </xf>
    <xf numFmtId="3" fontId="2" fillId="32" borderId="95" xfId="0" applyNumberFormat="1" applyFont="1" applyFill="1" applyBorder="1" applyAlignment="1">
      <alignment horizontal="right" vertical="center"/>
    </xf>
    <xf numFmtId="3" fontId="2" fillId="32" borderId="10" xfId="0" applyNumberFormat="1" applyFont="1" applyFill="1" applyBorder="1" applyAlignment="1">
      <alignment horizontal="right" vertical="center"/>
    </xf>
    <xf numFmtId="3" fontId="3" fillId="32" borderId="95" xfId="0" applyNumberFormat="1" applyFont="1" applyFill="1" applyBorder="1" applyAlignment="1">
      <alignment horizontal="right" vertical="center"/>
    </xf>
    <xf numFmtId="3" fontId="3" fillId="32" borderId="10" xfId="0" applyNumberFormat="1" applyFont="1" applyFill="1" applyBorder="1" applyAlignment="1">
      <alignment horizontal="right" vertical="center"/>
    </xf>
    <xf numFmtId="0" fontId="2" fillId="32" borderId="109" xfId="0" applyFont="1" applyFill="1" applyBorder="1" applyAlignment="1">
      <alignment horizontal="left" vertical="center" wrapText="1"/>
    </xf>
    <xf numFmtId="0" fontId="2" fillId="32" borderId="118" xfId="0" applyFont="1" applyFill="1" applyBorder="1" applyAlignment="1">
      <alignment horizontal="left" vertical="center" wrapText="1"/>
    </xf>
    <xf numFmtId="0" fontId="3" fillId="32" borderId="119" xfId="0" applyFont="1" applyFill="1" applyBorder="1" applyAlignment="1">
      <alignment horizontal="center" vertical="center" wrapText="1"/>
    </xf>
    <xf numFmtId="0" fontId="3" fillId="32" borderId="88" xfId="0" applyFont="1" applyFill="1" applyBorder="1" applyAlignment="1">
      <alignment horizontal="center" vertical="center" wrapText="1"/>
    </xf>
    <xf numFmtId="0" fontId="3" fillId="32" borderId="120" xfId="0" applyFont="1" applyFill="1" applyBorder="1" applyAlignment="1">
      <alignment horizontal="center" vertical="center" wrapText="1"/>
    </xf>
    <xf numFmtId="0" fontId="2" fillId="32" borderId="119" xfId="0" applyFont="1" applyFill="1" applyBorder="1" applyAlignment="1">
      <alignment horizontal="center" vertical="center" wrapText="1"/>
    </xf>
    <xf numFmtId="0" fontId="2" fillId="32" borderId="88" xfId="0" applyFont="1" applyFill="1" applyBorder="1" applyAlignment="1">
      <alignment horizontal="center" vertical="center" wrapText="1"/>
    </xf>
    <xf numFmtId="0" fontId="2" fillId="32" borderId="120" xfId="0" applyFont="1" applyFill="1" applyBorder="1" applyAlignment="1">
      <alignment horizontal="center" vertical="center" wrapText="1"/>
    </xf>
    <xf numFmtId="3" fontId="7" fillId="36" borderId="47" xfId="0" applyNumberFormat="1" applyFont="1" applyFill="1" applyBorder="1" applyAlignment="1" applyProtection="1">
      <alignment horizontal="center" vertical="center" wrapText="1"/>
      <protection locked="0"/>
    </xf>
    <xf numFmtId="3" fontId="7" fillId="36" borderId="44" xfId="0" applyNumberFormat="1" applyFont="1" applyFill="1" applyBorder="1" applyAlignment="1" applyProtection="1">
      <alignment horizontal="center" vertical="center" wrapText="1"/>
      <protection locked="0"/>
    </xf>
    <xf numFmtId="0" fontId="6" fillId="32" borderId="32" xfId="0" applyFont="1" applyFill="1" applyBorder="1" applyAlignment="1">
      <alignment horizontal="left" vertical="center" wrapText="1"/>
    </xf>
    <xf numFmtId="0" fontId="6" fillId="32" borderId="37" xfId="0" applyFont="1" applyFill="1" applyBorder="1" applyAlignment="1">
      <alignment horizontal="left" vertical="center" wrapText="1"/>
    </xf>
    <xf numFmtId="0" fontId="86" fillId="0" borderId="0" xfId="0" applyFont="1" applyBorder="1" applyAlignment="1">
      <alignment horizontal="left"/>
    </xf>
    <xf numFmtId="0" fontId="10" fillId="32" borderId="32" xfId="0" applyFont="1" applyFill="1" applyBorder="1" applyAlignment="1">
      <alignment horizontal="center" vertical="center" wrapText="1"/>
    </xf>
    <xf numFmtId="0" fontId="10" fillId="32" borderId="33"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32" borderId="37"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36" xfId="0" applyFont="1" applyFill="1" applyBorder="1" applyAlignment="1">
      <alignment horizontal="center" vertical="center" wrapText="1"/>
    </xf>
    <xf numFmtId="0" fontId="7" fillId="0" borderId="0" xfId="0" applyFont="1" applyFill="1" applyBorder="1" applyAlignment="1">
      <alignment horizontal="left" vertical="top" wrapText="1"/>
    </xf>
    <xf numFmtId="4" fontId="0" fillId="32" borderId="121" xfId="0" applyNumberFormat="1" applyFont="1" applyFill="1" applyBorder="1" applyAlignment="1">
      <alignment horizontal="center" vertical="center" wrapText="1"/>
    </xf>
    <xf numFmtId="4" fontId="0" fillId="32" borderId="65" xfId="0" applyNumberFormat="1" applyFont="1" applyFill="1" applyBorder="1" applyAlignment="1">
      <alignment horizontal="center" vertical="center" wrapText="1"/>
    </xf>
    <xf numFmtId="3" fontId="7" fillId="36" borderId="62" xfId="0" applyNumberFormat="1" applyFont="1" applyFill="1" applyBorder="1" applyAlignment="1" applyProtection="1">
      <alignment horizontal="center" vertical="center" wrapText="1"/>
      <protection locked="0"/>
    </xf>
    <xf numFmtId="3" fontId="7" fillId="36" borderId="63" xfId="0" applyNumberFormat="1" applyFont="1" applyFill="1" applyBorder="1" applyAlignment="1" applyProtection="1">
      <alignment horizontal="center" vertical="center" wrapText="1"/>
      <protection locked="0"/>
    </xf>
    <xf numFmtId="4" fontId="0" fillId="48" borderId="80" xfId="0" applyNumberFormat="1" applyFont="1" applyFill="1" applyBorder="1" applyAlignment="1" applyProtection="1">
      <alignment horizontal="center" vertical="center" wrapText="1"/>
      <protection/>
    </xf>
    <xf numFmtId="4" fontId="0" fillId="48" borderId="40" xfId="0" applyNumberFormat="1" applyFont="1" applyFill="1" applyBorder="1" applyAlignment="1" applyProtection="1">
      <alignment horizontal="center" vertical="center" wrapText="1"/>
      <protection/>
    </xf>
    <xf numFmtId="1" fontId="2" fillId="32" borderId="75" xfId="0" applyNumberFormat="1" applyFont="1" applyFill="1" applyBorder="1" applyAlignment="1">
      <alignment horizontal="center" vertical="center" wrapText="1"/>
    </xf>
    <xf numFmtId="3" fontId="0" fillId="32" borderId="79" xfId="0" applyNumberFormat="1" applyFont="1" applyFill="1" applyBorder="1" applyAlignment="1">
      <alignment horizontal="right" vertical="center" wrapText="1" indent="1" readingOrder="1"/>
    </xf>
    <xf numFmtId="3" fontId="0" fillId="32" borderId="74" xfId="0" applyNumberFormat="1" applyFont="1" applyFill="1" applyBorder="1" applyAlignment="1">
      <alignment horizontal="right" vertical="center" wrapText="1" indent="1" readingOrder="1"/>
    </xf>
    <xf numFmtId="3" fontId="0" fillId="32" borderId="40" xfId="0" applyNumberFormat="1" applyFont="1" applyFill="1" applyBorder="1" applyAlignment="1">
      <alignment horizontal="right" vertical="center" wrapText="1" indent="1" readingOrder="1"/>
    </xf>
    <xf numFmtId="3" fontId="0" fillId="32" borderId="44" xfId="0" applyNumberFormat="1" applyFont="1" applyFill="1" applyBorder="1" applyAlignment="1">
      <alignment horizontal="right" vertical="center" wrapText="1" indent="1" readingOrder="1"/>
    </xf>
    <xf numFmtId="0" fontId="84" fillId="0" borderId="0" xfId="0" applyFont="1" applyFill="1" applyBorder="1" applyAlignment="1">
      <alignment horizontal="left"/>
    </xf>
    <xf numFmtId="3" fontId="7" fillId="36" borderId="102" xfId="0" applyNumberFormat="1" applyFont="1" applyFill="1" applyBorder="1" applyAlignment="1" applyProtection="1">
      <alignment horizontal="center" vertical="center" wrapText="1"/>
      <protection locked="0"/>
    </xf>
    <xf numFmtId="3" fontId="7" fillId="36" borderId="74" xfId="0" applyNumberFormat="1" applyFont="1" applyFill="1" applyBorder="1" applyAlignment="1" applyProtection="1">
      <alignment horizontal="center" vertical="center" wrapText="1"/>
      <protection locked="0"/>
    </xf>
    <xf numFmtId="4" fontId="0" fillId="32" borderId="80" xfId="0" applyNumberFormat="1" applyFont="1" applyFill="1" applyBorder="1" applyAlignment="1">
      <alignment horizontal="center" vertical="center" wrapText="1"/>
    </xf>
    <xf numFmtId="4" fontId="0" fillId="32" borderId="40" xfId="0" applyNumberFormat="1" applyFont="1" applyFill="1" applyBorder="1" applyAlignment="1">
      <alignment horizontal="center" vertical="center" wrapText="1"/>
    </xf>
    <xf numFmtId="3" fontId="0" fillId="32" borderId="80" xfId="0" applyNumberFormat="1" applyFont="1" applyFill="1" applyBorder="1" applyAlignment="1">
      <alignment horizontal="right" vertical="center" wrapText="1" indent="1" readingOrder="1"/>
    </xf>
    <xf numFmtId="14" fontId="65" fillId="0" borderId="0" xfId="0" applyNumberFormat="1" applyFont="1" applyBorder="1" applyAlignment="1">
      <alignment horizontal="center"/>
    </xf>
    <xf numFmtId="0" fontId="0" fillId="32" borderId="33"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24" xfId="0" applyFont="1" applyFill="1" applyBorder="1" applyAlignment="1">
      <alignment horizontal="center" vertical="center" wrapText="1"/>
    </xf>
    <xf numFmtId="0" fontId="0" fillId="32" borderId="36" xfId="0" applyFont="1" applyFill="1" applyBorder="1" applyAlignment="1">
      <alignment horizontal="center" vertical="center" wrapText="1"/>
    </xf>
    <xf numFmtId="0" fontId="6" fillId="32" borderId="58" xfId="0" applyFont="1" applyFill="1" applyBorder="1" applyAlignment="1">
      <alignment horizontal="left" vertical="center" wrapText="1"/>
    </xf>
    <xf numFmtId="4" fontId="0" fillId="32" borderId="110" xfId="0" applyNumberFormat="1" applyFont="1" applyFill="1" applyBorder="1" applyAlignment="1">
      <alignment horizontal="center" vertical="center" wrapText="1"/>
    </xf>
    <xf numFmtId="4" fontId="0" fillId="32" borderId="79" xfId="0" applyNumberFormat="1" applyFont="1" applyFill="1" applyBorder="1" applyAlignment="1">
      <alignment horizontal="center" vertical="center" wrapText="1"/>
    </xf>
    <xf numFmtId="0" fontId="7" fillId="32" borderId="23"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23"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8" xfId="0" applyFont="1" applyFill="1" applyBorder="1" applyAlignment="1">
      <alignment horizontal="center" vertical="center" wrapText="1"/>
    </xf>
    <xf numFmtId="14" fontId="65" fillId="0" borderId="0" xfId="0" applyNumberFormat="1" applyFont="1" applyBorder="1" applyAlignment="1">
      <alignment horizontal="right"/>
    </xf>
    <xf numFmtId="0" fontId="0" fillId="32" borderId="29" xfId="0" applyFont="1" applyFill="1" applyBorder="1" applyAlignment="1">
      <alignment vertical="center" wrapText="1"/>
    </xf>
    <xf numFmtId="0" fontId="7" fillId="32" borderId="19" xfId="0" applyFont="1" applyFill="1" applyBorder="1" applyAlignment="1">
      <alignment vertical="center" wrapText="1"/>
    </xf>
    <xf numFmtId="0" fontId="7" fillId="32" borderId="29" xfId="0" applyFont="1" applyFill="1" applyBorder="1" applyAlignment="1">
      <alignment vertical="center" wrapText="1"/>
    </xf>
    <xf numFmtId="0" fontId="8" fillId="32" borderId="23"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0" fillId="32" borderId="19" xfId="0" applyFont="1" applyFill="1" applyBorder="1" applyAlignment="1">
      <alignment vertical="center" wrapText="1"/>
    </xf>
    <xf numFmtId="0" fontId="0" fillId="32" borderId="31" xfId="0" applyFont="1" applyFill="1" applyBorder="1" applyAlignment="1">
      <alignment vertical="center" wrapText="1"/>
    </xf>
    <xf numFmtId="0" fontId="5" fillId="0" borderId="0" xfId="0" applyFont="1" applyAlignment="1">
      <alignment horizontal="right"/>
    </xf>
    <xf numFmtId="0" fontId="14" fillId="32" borderId="23" xfId="0" applyFont="1" applyFill="1" applyBorder="1" applyAlignment="1">
      <alignment horizontal="center" vertical="center"/>
    </xf>
    <xf numFmtId="0" fontId="14" fillId="32" borderId="30" xfId="0" applyFont="1" applyFill="1" applyBorder="1" applyAlignment="1">
      <alignment horizontal="center" vertical="center"/>
    </xf>
    <xf numFmtId="0" fontId="14" fillId="32" borderId="23" xfId="0" applyFont="1" applyFill="1" applyBorder="1" applyAlignment="1">
      <alignment horizontal="center" vertical="center" wrapText="1"/>
    </xf>
    <xf numFmtId="0" fontId="14" fillId="32" borderId="30"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31"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9" fillId="32" borderId="19" xfId="0" applyFont="1" applyFill="1" applyBorder="1" applyAlignment="1">
      <alignment horizontal="left" vertical="center" wrapText="1"/>
    </xf>
    <xf numFmtId="0" fontId="9" fillId="32" borderId="29" xfId="0" applyFont="1" applyFill="1" applyBorder="1" applyAlignment="1">
      <alignment horizontal="left" vertical="center" wrapText="1"/>
    </xf>
    <xf numFmtId="0" fontId="9" fillId="32" borderId="31"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22" fillId="32" borderId="29" xfId="0" applyFont="1" applyFill="1" applyBorder="1" applyAlignment="1">
      <alignment horizontal="center" vertical="center" wrapText="1"/>
    </xf>
    <xf numFmtId="0" fontId="22" fillId="32" borderId="31" xfId="0" applyFont="1" applyFill="1" applyBorder="1" applyAlignment="1">
      <alignment horizontal="center" vertical="center" wrapText="1"/>
    </xf>
    <xf numFmtId="1" fontId="18" fillId="36" borderId="122" xfId="0" applyNumberFormat="1" applyFont="1" applyFill="1" applyBorder="1" applyAlignment="1" applyProtection="1">
      <alignment horizontal="center" vertical="center" wrapText="1"/>
      <protection locked="0"/>
    </xf>
    <xf numFmtId="1" fontId="18" fillId="36" borderId="123" xfId="0" applyNumberFormat="1" applyFont="1" applyFill="1" applyBorder="1" applyAlignment="1" applyProtection="1">
      <alignment horizontal="center" vertical="center" wrapText="1"/>
      <protection locked="0"/>
    </xf>
    <xf numFmtId="0" fontId="10" fillId="32" borderId="124" xfId="0" applyFont="1" applyFill="1" applyBorder="1" applyAlignment="1">
      <alignment horizontal="center" vertical="center" wrapText="1"/>
    </xf>
    <xf numFmtId="0" fontId="10" fillId="32" borderId="29" xfId="0" applyFont="1" applyFill="1" applyBorder="1" applyAlignment="1">
      <alignment horizontal="center" vertical="center" wrapText="1"/>
    </xf>
    <xf numFmtId="0" fontId="10" fillId="32" borderId="31" xfId="0" applyFont="1" applyFill="1" applyBorder="1" applyAlignment="1">
      <alignment horizontal="center" vertical="center" wrapText="1"/>
    </xf>
    <xf numFmtId="43" fontId="54" fillId="0" borderId="95" xfId="48" applyFont="1" applyBorder="1" applyAlignment="1">
      <alignment horizontal="left"/>
    </xf>
    <xf numFmtId="43" fontId="54" fillId="0" borderId="10" xfId="48" applyFont="1" applyBorder="1" applyAlignment="1">
      <alignment horizontal="left"/>
    </xf>
    <xf numFmtId="2" fontId="0" fillId="0" borderId="0" xfId="0" applyNumberFormat="1" applyBorder="1" applyAlignment="1">
      <alignment horizontal="center"/>
    </xf>
    <xf numFmtId="4" fontId="10" fillId="32" borderId="80" xfId="0" applyNumberFormat="1" applyFont="1" applyFill="1" applyBorder="1" applyAlignment="1">
      <alignment horizontal="center" vertical="center"/>
    </xf>
    <xf numFmtId="4" fontId="10" fillId="32" borderId="40" xfId="0" applyNumberFormat="1" applyFont="1" applyFill="1" applyBorder="1" applyAlignment="1">
      <alignment horizontal="center" vertical="center"/>
    </xf>
    <xf numFmtId="2" fontId="9" fillId="0" borderId="0" xfId="48" applyNumberFormat="1" applyFont="1" applyBorder="1" applyAlignment="1">
      <alignment horizontal="right"/>
    </xf>
    <xf numFmtId="0" fontId="10" fillId="32" borderId="19" xfId="0" applyFont="1" applyFill="1" applyBorder="1" applyAlignment="1">
      <alignment horizontal="center" vertical="center" wrapText="1"/>
    </xf>
    <xf numFmtId="4" fontId="9" fillId="33" borderId="69" xfId="0" applyNumberFormat="1" applyFont="1" applyFill="1" applyBorder="1" applyAlignment="1">
      <alignment horizontal="center" vertical="center" wrapText="1"/>
    </xf>
    <xf numFmtId="4" fontId="9" fillId="33" borderId="77" xfId="0" applyNumberFormat="1" applyFont="1" applyFill="1" applyBorder="1" applyAlignment="1">
      <alignment horizontal="center" vertical="center" wrapText="1"/>
    </xf>
    <xf numFmtId="4" fontId="9" fillId="33" borderId="80" xfId="0" applyNumberFormat="1" applyFont="1" applyFill="1" applyBorder="1" applyAlignment="1">
      <alignment horizontal="center" vertical="center" wrapText="1"/>
    </xf>
    <xf numFmtId="0" fontId="10" fillId="0" borderId="47" xfId="0" applyFont="1" applyBorder="1" applyAlignment="1">
      <alignment horizontal="left" vertical="center" wrapText="1"/>
    </xf>
    <xf numFmtId="0" fontId="10" fillId="0" borderId="40" xfId="0" applyFont="1" applyBorder="1" applyAlignment="1">
      <alignment horizontal="left" vertical="center" wrapText="1"/>
    </xf>
    <xf numFmtId="0" fontId="10" fillId="0" borderId="69" xfId="0" applyFont="1" applyBorder="1" applyAlignment="1">
      <alignment horizontal="left" vertical="center" wrapText="1"/>
    </xf>
    <xf numFmtId="43" fontId="9" fillId="0" borderId="0" xfId="48" applyFont="1" applyBorder="1" applyAlignment="1">
      <alignment horizontal="left"/>
    </xf>
    <xf numFmtId="4" fontId="10" fillId="36" borderId="101" xfId="0" applyNumberFormat="1" applyFont="1" applyFill="1" applyBorder="1" applyAlignment="1" applyProtection="1">
      <alignment horizontal="center" vertical="center"/>
      <protection locked="0"/>
    </xf>
    <xf numFmtId="4" fontId="10" fillId="36" borderId="41" xfId="0" applyNumberFormat="1" applyFont="1" applyFill="1" applyBorder="1" applyAlignment="1" applyProtection="1">
      <alignment horizontal="center" vertical="center"/>
      <protection locked="0"/>
    </xf>
    <xf numFmtId="2" fontId="0" fillId="0" borderId="0" xfId="0" applyNumberFormat="1" applyAlignment="1">
      <alignment horizontal="left"/>
    </xf>
    <xf numFmtId="4" fontId="10" fillId="32" borderId="99" xfId="0" applyNumberFormat="1" applyFont="1" applyFill="1" applyBorder="1" applyAlignment="1">
      <alignment horizontal="center" vertical="center"/>
    </xf>
    <xf numFmtId="4" fontId="10" fillId="32" borderId="38" xfId="0" applyNumberFormat="1" applyFont="1" applyFill="1" applyBorder="1" applyAlignment="1">
      <alignment horizontal="center" vertical="center"/>
    </xf>
    <xf numFmtId="0" fontId="7" fillId="32" borderId="109" xfId="0" applyFont="1" applyFill="1" applyBorder="1" applyAlignment="1">
      <alignment horizontal="left" vertical="center" wrapText="1"/>
    </xf>
    <xf numFmtId="0" fontId="7" fillId="32" borderId="88" xfId="0" applyFont="1" applyFill="1" applyBorder="1" applyAlignment="1">
      <alignment horizontal="left" vertical="center" wrapText="1"/>
    </xf>
    <xf numFmtId="0" fontId="7" fillId="32" borderId="24" xfId="0" applyFont="1" applyFill="1" applyBorder="1" applyAlignment="1">
      <alignment horizontal="left" vertical="center" wrapText="1"/>
    </xf>
    <xf numFmtId="43" fontId="0" fillId="0" borderId="0" xfId="48" applyFont="1" applyBorder="1" applyAlignment="1">
      <alignment horizontal="left"/>
    </xf>
    <xf numFmtId="0" fontId="10" fillId="0" borderId="46" xfId="0" applyFont="1" applyBorder="1" applyAlignment="1">
      <alignment horizontal="left" vertical="center" wrapText="1"/>
    </xf>
    <xf numFmtId="0" fontId="10" fillId="0" borderId="38" xfId="0" applyFont="1" applyBorder="1" applyAlignment="1">
      <alignment horizontal="left" vertical="center" wrapText="1"/>
    </xf>
    <xf numFmtId="0" fontId="10" fillId="0" borderId="67" xfId="0" applyFont="1" applyBorder="1" applyAlignment="1">
      <alignment horizontal="left" vertical="center" wrapText="1"/>
    </xf>
    <xf numFmtId="4" fontId="10" fillId="36" borderId="125" xfId="0" applyNumberFormat="1" applyFont="1" applyFill="1" applyBorder="1" applyAlignment="1" applyProtection="1">
      <alignment horizontal="center" vertical="center" wrapText="1"/>
      <protection locked="0"/>
    </xf>
    <xf numFmtId="0" fontId="10" fillId="0" borderId="48" xfId="0" applyFont="1" applyBorder="1" applyAlignment="1">
      <alignment horizontal="left" vertical="center" wrapText="1"/>
    </xf>
    <xf numFmtId="0" fontId="10" fillId="0" borderId="41" xfId="0" applyFont="1" applyBorder="1" applyAlignment="1">
      <alignment horizontal="left" vertical="center" wrapText="1"/>
    </xf>
    <xf numFmtId="49" fontId="10" fillId="36" borderId="126" xfId="0" applyNumberFormat="1" applyFont="1" applyFill="1" applyBorder="1" applyAlignment="1" applyProtection="1">
      <alignment horizontal="center" vertical="center"/>
      <protection locked="0"/>
    </xf>
    <xf numFmtId="49" fontId="10" fillId="36" borderId="127" xfId="0" applyNumberFormat="1" applyFont="1" applyFill="1" applyBorder="1" applyAlignment="1" applyProtection="1">
      <alignment horizontal="center" vertical="center"/>
      <protection locked="0"/>
    </xf>
    <xf numFmtId="49" fontId="10" fillId="36" borderId="128" xfId="0" applyNumberFormat="1" applyFont="1" applyFill="1" applyBorder="1" applyAlignment="1" applyProtection="1">
      <alignment horizontal="center" vertical="center"/>
      <protection locked="0"/>
    </xf>
    <xf numFmtId="49" fontId="10" fillId="32" borderId="129" xfId="0" applyNumberFormat="1" applyFont="1" applyFill="1" applyBorder="1" applyAlignment="1">
      <alignment horizontal="center" vertical="center"/>
    </xf>
    <xf numFmtId="49" fontId="10" fillId="32" borderId="0" xfId="0" applyNumberFormat="1" applyFont="1" applyFill="1" applyBorder="1" applyAlignment="1">
      <alignment horizontal="center" vertical="center"/>
    </xf>
    <xf numFmtId="49" fontId="10" fillId="32" borderId="130" xfId="0" applyNumberFormat="1" applyFont="1" applyFill="1" applyBorder="1" applyAlignment="1">
      <alignment horizontal="center" vertical="center"/>
    </xf>
    <xf numFmtId="3" fontId="18" fillId="36" borderId="40" xfId="0" applyNumberFormat="1" applyFont="1" applyFill="1" applyBorder="1" applyAlignment="1" applyProtection="1">
      <alignment horizontal="right" vertical="center" wrapText="1" indent="1"/>
      <protection locked="0"/>
    </xf>
    <xf numFmtId="3" fontId="18" fillId="36" borderId="44" xfId="0" applyNumberFormat="1" applyFont="1" applyFill="1" applyBorder="1" applyAlignment="1" applyProtection="1">
      <alignment horizontal="right" vertical="center" wrapText="1" indent="1"/>
      <protection locked="0"/>
    </xf>
    <xf numFmtId="1" fontId="18" fillId="36" borderId="114" xfId="0" applyNumberFormat="1" applyFont="1" applyFill="1" applyBorder="1" applyAlignment="1" applyProtection="1">
      <alignment horizontal="center" vertical="center" wrapText="1"/>
      <protection locked="0"/>
    </xf>
    <xf numFmtId="1" fontId="18" fillId="36" borderId="116" xfId="0" applyNumberFormat="1" applyFont="1" applyFill="1" applyBorder="1" applyAlignment="1" applyProtection="1">
      <alignment horizontal="center" vertical="center" wrapText="1"/>
      <protection locked="0"/>
    </xf>
    <xf numFmtId="0" fontId="9" fillId="38" borderId="40" xfId="0" applyFont="1" applyFill="1" applyBorder="1" applyAlignment="1">
      <alignment horizontal="center" vertical="center" wrapText="1"/>
    </xf>
    <xf numFmtId="0" fontId="10" fillId="49" borderId="131" xfId="0" applyFont="1" applyFill="1" applyBorder="1" applyAlignment="1">
      <alignment horizontal="center" vertical="center" wrapText="1"/>
    </xf>
    <xf numFmtId="0" fontId="10" fillId="49" borderId="28" xfId="0" applyFont="1" applyFill="1" applyBorder="1" applyAlignment="1">
      <alignment horizontal="center" vertical="center" wrapText="1"/>
    </xf>
    <xf numFmtId="3" fontId="7" fillId="32" borderId="95" xfId="0" applyNumberFormat="1" applyFont="1" applyFill="1" applyBorder="1" applyAlignment="1">
      <alignment horizontal="right" vertical="center" wrapText="1" indent="1"/>
    </xf>
    <xf numFmtId="3" fontId="7" fillId="32" borderId="10" xfId="0" applyNumberFormat="1" applyFont="1" applyFill="1" applyBorder="1" applyAlignment="1">
      <alignment horizontal="right" vertical="center" wrapText="1" indent="1"/>
    </xf>
    <xf numFmtId="3" fontId="18" fillId="36" borderId="38" xfId="0" applyNumberFormat="1" applyFont="1" applyFill="1" applyBorder="1" applyAlignment="1" applyProtection="1">
      <alignment horizontal="right" vertical="center" wrapText="1" indent="1"/>
      <protection locked="0"/>
    </xf>
    <xf numFmtId="3" fontId="18" fillId="36" borderId="43" xfId="0" applyNumberFormat="1" applyFont="1" applyFill="1" applyBorder="1" applyAlignment="1" applyProtection="1">
      <alignment horizontal="right" vertical="center" wrapText="1" indent="1"/>
      <protection locked="0"/>
    </xf>
    <xf numFmtId="3" fontId="18" fillId="36" borderId="65" xfId="0" applyNumberFormat="1" applyFont="1" applyFill="1" applyBorder="1" applyAlignment="1" applyProtection="1">
      <alignment horizontal="right" vertical="center" wrapText="1" indent="1"/>
      <protection locked="0"/>
    </xf>
    <xf numFmtId="3" fontId="18" fillId="36" borderId="90" xfId="0" applyNumberFormat="1" applyFont="1" applyFill="1" applyBorder="1" applyAlignment="1" applyProtection="1">
      <alignment horizontal="right" vertical="center" wrapText="1" indent="1"/>
      <protection locked="0"/>
    </xf>
    <xf numFmtId="0" fontId="10" fillId="36" borderId="48" xfId="0" applyFont="1" applyFill="1" applyBorder="1" applyAlignment="1" applyProtection="1">
      <alignment horizontal="left" vertical="center" wrapText="1"/>
      <protection locked="0"/>
    </xf>
    <xf numFmtId="0" fontId="10" fillId="36" borderId="41" xfId="0" applyFont="1" applyFill="1" applyBorder="1" applyAlignment="1" applyProtection="1">
      <alignment horizontal="left" vertical="center" wrapText="1"/>
      <protection locked="0"/>
    </xf>
    <xf numFmtId="0" fontId="10" fillId="36" borderId="100" xfId="0" applyFont="1" applyFill="1" applyBorder="1" applyAlignment="1" applyProtection="1">
      <alignment horizontal="left" vertical="center" wrapText="1"/>
      <protection locked="0"/>
    </xf>
    <xf numFmtId="0" fontId="7" fillId="32" borderId="109" xfId="0" applyFont="1" applyFill="1" applyBorder="1" applyAlignment="1">
      <alignment horizontal="left" vertical="top" wrapText="1"/>
    </xf>
    <xf numFmtId="0" fontId="7" fillId="32" borderId="88" xfId="0" applyFont="1" applyFill="1" applyBorder="1" applyAlignment="1">
      <alignment horizontal="left" vertical="top" wrapText="1"/>
    </xf>
    <xf numFmtId="3" fontId="18" fillId="32" borderId="80" xfId="0" applyNumberFormat="1" applyFont="1" applyFill="1" applyBorder="1" applyAlignment="1">
      <alignment horizontal="right" vertical="center" wrapText="1" indent="1"/>
    </xf>
    <xf numFmtId="3" fontId="18" fillId="32" borderId="44" xfId="0" applyNumberFormat="1" applyFont="1" applyFill="1" applyBorder="1" applyAlignment="1">
      <alignment horizontal="right" vertical="center" wrapText="1" indent="1"/>
    </xf>
    <xf numFmtId="3" fontId="7" fillId="32" borderId="95" xfId="0" applyNumberFormat="1" applyFont="1" applyFill="1" applyBorder="1" applyAlignment="1">
      <alignment horizontal="right" vertical="center" indent="1"/>
    </xf>
    <xf numFmtId="3" fontId="7" fillId="32" borderId="10" xfId="0" applyNumberFormat="1" applyFont="1" applyFill="1" applyBorder="1" applyAlignment="1">
      <alignment horizontal="right" vertical="center" indent="1"/>
    </xf>
    <xf numFmtId="3" fontId="18" fillId="32" borderId="65" xfId="0" applyNumberFormat="1" applyFont="1" applyFill="1" applyBorder="1" applyAlignment="1">
      <alignment horizontal="right" vertical="center" wrapText="1" indent="1"/>
    </xf>
    <xf numFmtId="3" fontId="18" fillId="32" borderId="90" xfId="0" applyNumberFormat="1" applyFont="1" applyFill="1" applyBorder="1" applyAlignment="1">
      <alignment horizontal="right" vertical="center" wrapText="1" indent="1"/>
    </xf>
    <xf numFmtId="3" fontId="18" fillId="32" borderId="38" xfId="0" applyNumberFormat="1" applyFont="1" applyFill="1" applyBorder="1" applyAlignment="1">
      <alignment horizontal="right" vertical="center" wrapText="1" indent="1"/>
    </xf>
    <xf numFmtId="3" fontId="18" fillId="32" borderId="43" xfId="0" applyNumberFormat="1" applyFont="1" applyFill="1" applyBorder="1" applyAlignment="1">
      <alignment horizontal="right" vertical="center" wrapText="1" inden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9" fillId="32" borderId="14" xfId="0" applyFont="1" applyFill="1" applyBorder="1" applyAlignment="1">
      <alignment horizontal="center" vertical="center" wrapText="1"/>
    </xf>
    <xf numFmtId="0" fontId="10" fillId="32" borderId="132" xfId="0" applyFont="1" applyFill="1" applyBorder="1" applyAlignment="1">
      <alignment horizontal="center" vertical="center" wrapText="1"/>
    </xf>
    <xf numFmtId="0" fontId="7" fillId="32" borderId="24" xfId="0" applyFont="1" applyFill="1" applyBorder="1" applyAlignment="1">
      <alignment horizontal="left" vertical="top" wrapText="1"/>
    </xf>
    <xf numFmtId="4" fontId="10" fillId="36" borderId="79" xfId="0" applyNumberFormat="1" applyFont="1" applyFill="1" applyBorder="1" applyAlignment="1" applyProtection="1">
      <alignment horizontal="center" vertical="center" wrapText="1"/>
      <protection locked="0"/>
    </xf>
    <xf numFmtId="0" fontId="24" fillId="32" borderId="124" xfId="0" applyFont="1" applyFill="1" applyBorder="1" applyAlignment="1">
      <alignment horizontal="left" vertical="center" wrapText="1"/>
    </xf>
    <xf numFmtId="0" fontId="24" fillId="32" borderId="29" xfId="0" applyFont="1" applyFill="1" applyBorder="1" applyAlignment="1">
      <alignment horizontal="left" vertical="center" wrapText="1"/>
    </xf>
    <xf numFmtId="0" fontId="24" fillId="32" borderId="31" xfId="0" applyFont="1" applyFill="1" applyBorder="1" applyAlignment="1">
      <alignment horizontal="left" vertical="center" wrapText="1"/>
    </xf>
    <xf numFmtId="0" fontId="3" fillId="32" borderId="32"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10" fillId="32" borderId="124" xfId="0" applyFont="1" applyFill="1" applyBorder="1" applyAlignment="1">
      <alignment horizontal="left" vertical="center" wrapText="1"/>
    </xf>
    <xf numFmtId="0" fontId="10" fillId="32" borderId="31" xfId="0" applyFont="1" applyFill="1" applyBorder="1" applyAlignment="1">
      <alignment horizontal="left" vertical="center" wrapText="1"/>
    </xf>
    <xf numFmtId="0" fontId="9" fillId="49" borderId="131" xfId="0" applyFont="1" applyFill="1" applyBorder="1" applyAlignment="1">
      <alignment horizontal="center" vertical="center" wrapText="1"/>
    </xf>
    <xf numFmtId="0" fontId="9" fillId="49" borderId="28" xfId="0" applyFont="1" applyFill="1" applyBorder="1" applyAlignment="1">
      <alignment horizontal="center" vertical="center" wrapText="1"/>
    </xf>
    <xf numFmtId="0" fontId="14" fillId="49" borderId="133" xfId="0" applyFont="1" applyFill="1" applyBorder="1" applyAlignment="1">
      <alignment horizontal="center" vertical="center" wrapText="1"/>
    </xf>
    <xf numFmtId="0" fontId="14" fillId="49" borderId="18" xfId="0" applyFont="1" applyFill="1" applyBorder="1" applyAlignment="1">
      <alignment horizontal="center" vertical="center" wrapText="1"/>
    </xf>
    <xf numFmtId="1" fontId="18" fillId="36" borderId="134" xfId="0" applyNumberFormat="1" applyFont="1" applyFill="1" applyBorder="1" applyAlignment="1" applyProtection="1">
      <alignment horizontal="center" vertical="center" wrapText="1"/>
      <protection locked="0"/>
    </xf>
    <xf numFmtId="1" fontId="18" fillId="36" borderId="135" xfId="0" applyNumberFormat="1" applyFont="1" applyFill="1" applyBorder="1" applyAlignment="1" applyProtection="1">
      <alignment horizontal="center" vertical="center" wrapText="1"/>
      <protection locked="0"/>
    </xf>
    <xf numFmtId="0" fontId="22" fillId="32" borderId="136" xfId="0" applyFont="1" applyFill="1" applyBorder="1" applyAlignment="1">
      <alignment horizontal="center" vertical="center" wrapText="1"/>
    </xf>
    <xf numFmtId="0" fontId="22" fillId="32" borderId="133" xfId="0"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10" fillId="32" borderId="137" xfId="0" applyFont="1" applyFill="1" applyBorder="1" applyAlignment="1">
      <alignment horizontal="center" vertical="center" wrapText="1"/>
    </xf>
    <xf numFmtId="0" fontId="10" fillId="32" borderId="138" xfId="0" applyFont="1" applyFill="1" applyBorder="1" applyAlignment="1">
      <alignment horizontal="center" vertical="center" wrapText="1"/>
    </xf>
    <xf numFmtId="0" fontId="14" fillId="32" borderId="136" xfId="0" applyFont="1" applyFill="1" applyBorder="1" applyAlignment="1">
      <alignment horizontal="center" vertical="center" wrapText="1"/>
    </xf>
    <xf numFmtId="0" fontId="14" fillId="32" borderId="133"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8" fillId="49" borderId="136" xfId="0" applyFont="1" applyFill="1" applyBorder="1" applyAlignment="1">
      <alignment horizontal="center" vertical="center" wrapText="1"/>
    </xf>
    <xf numFmtId="0" fontId="18" fillId="49" borderId="133" xfId="0" applyFont="1" applyFill="1" applyBorder="1" applyAlignment="1">
      <alignment horizontal="center" vertical="center" wrapText="1"/>
    </xf>
    <xf numFmtId="0" fontId="18" fillId="49" borderId="17" xfId="0" applyFont="1" applyFill="1" applyBorder="1" applyAlignment="1">
      <alignment horizontal="center" vertical="center" wrapText="1"/>
    </xf>
    <xf numFmtId="0" fontId="18" fillId="49" borderId="18" xfId="0" applyFont="1" applyFill="1" applyBorder="1" applyAlignment="1">
      <alignment horizontal="center" vertical="center" wrapText="1"/>
    </xf>
    <xf numFmtId="0" fontId="9" fillId="38" borderId="38" xfId="0" applyFont="1" applyFill="1" applyBorder="1" applyAlignment="1">
      <alignment horizontal="center" vertical="center" wrapText="1"/>
    </xf>
    <xf numFmtId="0" fontId="45" fillId="0" borderId="12" xfId="0" applyFont="1" applyBorder="1" applyAlignment="1">
      <alignment horizontal="center"/>
    </xf>
    <xf numFmtId="0" fontId="45" fillId="0" borderId="13" xfId="0" applyFont="1" applyBorder="1" applyAlignment="1">
      <alignment horizontal="center"/>
    </xf>
    <xf numFmtId="0" fontId="45" fillId="0" borderId="14" xfId="0" applyFont="1" applyBorder="1" applyAlignment="1">
      <alignment horizontal="center"/>
    </xf>
    <xf numFmtId="0" fontId="1" fillId="36" borderId="32" xfId="0" applyFont="1" applyFill="1" applyBorder="1" applyAlignment="1" applyProtection="1">
      <alignment horizontal="left" vertical="top" wrapText="1"/>
      <protection locked="0"/>
    </xf>
    <xf numFmtId="0" fontId="1" fillId="36" borderId="33" xfId="0" applyFont="1" applyFill="1" applyBorder="1" applyAlignment="1" applyProtection="1">
      <alignment horizontal="left" vertical="top" wrapText="1"/>
      <protection locked="0"/>
    </xf>
    <xf numFmtId="0" fontId="1" fillId="36" borderId="22" xfId="0" applyFont="1" applyFill="1" applyBorder="1" applyAlignment="1" applyProtection="1">
      <alignment horizontal="left" vertical="top" wrapText="1"/>
      <protection locked="0"/>
    </xf>
    <xf numFmtId="0" fontId="1" fillId="36" borderId="34" xfId="0" applyFont="1" applyFill="1" applyBorder="1" applyAlignment="1" applyProtection="1">
      <alignment horizontal="left" vertical="top" wrapText="1"/>
      <protection locked="0"/>
    </xf>
    <xf numFmtId="0" fontId="1" fillId="36" borderId="0" xfId="0" applyFont="1" applyFill="1" applyBorder="1" applyAlignment="1" applyProtection="1">
      <alignment horizontal="left" vertical="top" wrapText="1"/>
      <protection locked="0"/>
    </xf>
    <xf numFmtId="0" fontId="1" fillId="36" borderId="35" xfId="0" applyFont="1" applyFill="1" applyBorder="1" applyAlignment="1" applyProtection="1">
      <alignment horizontal="left" vertical="top" wrapText="1"/>
      <protection locked="0"/>
    </xf>
    <xf numFmtId="0" fontId="1" fillId="36" borderId="37" xfId="0" applyFont="1" applyFill="1" applyBorder="1" applyAlignment="1" applyProtection="1">
      <alignment horizontal="left" vertical="top" wrapText="1"/>
      <protection locked="0"/>
    </xf>
    <xf numFmtId="0" fontId="1" fillId="36" borderId="24" xfId="0" applyFont="1" applyFill="1" applyBorder="1" applyAlignment="1" applyProtection="1">
      <alignment horizontal="left" vertical="top" wrapText="1"/>
      <protection locked="0"/>
    </xf>
    <xf numFmtId="0" fontId="1" fillId="36" borderId="36" xfId="0" applyFont="1" applyFill="1" applyBorder="1" applyAlignment="1" applyProtection="1">
      <alignment horizontal="left" vertical="top" wrapText="1"/>
      <protection locked="0"/>
    </xf>
    <xf numFmtId="14" fontId="65" fillId="0" borderId="0" xfId="48" applyNumberFormat="1" applyFont="1" applyBorder="1" applyAlignment="1">
      <alignment horizontal="right"/>
    </xf>
    <xf numFmtId="0" fontId="1" fillId="0" borderId="0" xfId="0" applyFont="1" applyAlignment="1">
      <alignment horizontal="left" wrapText="1"/>
    </xf>
    <xf numFmtId="0" fontId="9" fillId="0" borderId="95" xfId="0" applyFont="1" applyBorder="1" applyAlignment="1">
      <alignment horizontal="center" vertical="center" wrapText="1"/>
    </xf>
    <xf numFmtId="0" fontId="9" fillId="0" borderId="75" xfId="0" applyFont="1" applyBorder="1" applyAlignment="1">
      <alignment horizontal="center" vertical="center" wrapText="1"/>
    </xf>
    <xf numFmtId="0" fontId="2" fillId="32" borderId="19" xfId="0" applyFont="1" applyFill="1" applyBorder="1" applyAlignment="1">
      <alignment horizontal="left" vertical="center" wrapText="1"/>
    </xf>
    <xf numFmtId="0" fontId="2" fillId="32" borderId="29" xfId="0" applyFont="1" applyFill="1" applyBorder="1" applyAlignment="1">
      <alignment horizontal="left" vertical="center" wrapText="1"/>
    </xf>
    <xf numFmtId="0" fontId="2" fillId="32" borderId="19" xfId="0" applyFont="1" applyFill="1" applyBorder="1" applyAlignment="1" applyProtection="1">
      <alignment horizontal="left" vertical="center" wrapText="1"/>
      <protection/>
    </xf>
    <xf numFmtId="0" fontId="2" fillId="32" borderId="29" xfId="0" applyFont="1" applyFill="1" applyBorder="1" applyAlignment="1" applyProtection="1">
      <alignment horizontal="left" vertical="center" wrapText="1"/>
      <protection/>
    </xf>
    <xf numFmtId="14" fontId="65" fillId="0" borderId="0" xfId="0" applyNumberFormat="1" applyFont="1" applyBorder="1" applyAlignment="1" applyProtection="1">
      <alignment horizontal="right"/>
      <protection/>
    </xf>
    <xf numFmtId="0" fontId="0" fillId="36" borderId="69" xfId="0" applyFont="1" applyFill="1" applyBorder="1" applyAlignment="1" applyProtection="1">
      <alignment vertical="center" wrapText="1"/>
      <protection locked="0"/>
    </xf>
    <xf numFmtId="0" fontId="0" fillId="36" borderId="80" xfId="0" applyFont="1" applyFill="1" applyBorder="1" applyAlignment="1" applyProtection="1">
      <alignment vertical="center" wrapText="1"/>
      <protection locked="0"/>
    </xf>
    <xf numFmtId="0" fontId="0" fillId="36" borderId="38" xfId="0" applyFont="1" applyFill="1" applyBorder="1" applyAlignment="1" applyProtection="1">
      <alignment vertical="center" wrapText="1"/>
      <protection locked="0"/>
    </xf>
    <xf numFmtId="0" fontId="0" fillId="32" borderId="19" xfId="0" applyFont="1" applyFill="1" applyBorder="1" applyAlignment="1">
      <alignment horizontal="center" vertical="center" wrapText="1"/>
    </xf>
    <xf numFmtId="0" fontId="0" fillId="32" borderId="31" xfId="0" applyFont="1" applyFill="1" applyBorder="1" applyAlignment="1">
      <alignment horizontal="center" vertical="center" wrapText="1"/>
    </xf>
    <xf numFmtId="183" fontId="2" fillId="36" borderId="95" xfId="46" applyNumberFormat="1" applyFont="1" applyFill="1" applyBorder="1" applyAlignment="1" applyProtection="1">
      <alignment horizontal="center" vertical="center" wrapText="1"/>
      <protection locked="0"/>
    </xf>
    <xf numFmtId="183" fontId="2" fillId="36" borderId="10" xfId="46" applyNumberFormat="1" applyFont="1" applyFill="1" applyBorder="1" applyAlignment="1" applyProtection="1">
      <alignment horizontal="center" vertical="center" wrapText="1"/>
      <protection locked="0"/>
    </xf>
    <xf numFmtId="0" fontId="10" fillId="36" borderId="46" xfId="0" applyFont="1" applyFill="1" applyBorder="1" applyAlignment="1" applyProtection="1">
      <alignment horizontal="left" vertical="center" wrapText="1"/>
      <protection locked="0"/>
    </xf>
    <xf numFmtId="0" fontId="10" fillId="36" borderId="38" xfId="0" applyFont="1" applyFill="1" applyBorder="1" applyAlignment="1" applyProtection="1">
      <alignment horizontal="left" vertical="center" wrapText="1"/>
      <protection locked="0"/>
    </xf>
    <xf numFmtId="0" fontId="10" fillId="36" borderId="62" xfId="0" applyFont="1" applyFill="1" applyBorder="1" applyAlignment="1" applyProtection="1">
      <alignment horizontal="left" vertical="center" wrapText="1"/>
      <protection locked="0"/>
    </xf>
    <xf numFmtId="0" fontId="10" fillId="36" borderId="42" xfId="0" applyFont="1" applyFill="1" applyBorder="1" applyAlignment="1" applyProtection="1">
      <alignment horizontal="left" vertical="center" wrapText="1"/>
      <protection locked="0"/>
    </xf>
    <xf numFmtId="0" fontId="49" fillId="0" borderId="95" xfId="0" applyFont="1" applyBorder="1" applyAlignment="1">
      <alignment horizontal="left" vertical="center" wrapText="1"/>
    </xf>
    <xf numFmtId="0" fontId="49" fillId="0" borderId="10" xfId="0" applyFont="1" applyBorder="1" applyAlignment="1">
      <alignment horizontal="left" vertical="center" wrapText="1"/>
    </xf>
    <xf numFmtId="0" fontId="0" fillId="32" borderId="23"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12" xfId="0" applyFont="1" applyFill="1" applyBorder="1" applyAlignment="1">
      <alignment horizontal="left" vertical="center" wrapText="1"/>
    </xf>
    <xf numFmtId="0" fontId="0" fillId="32" borderId="14"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10" fillId="36" borderId="47" xfId="0" applyFont="1" applyFill="1" applyBorder="1" applyAlignment="1" applyProtection="1">
      <alignment horizontal="left" vertical="center" wrapText="1"/>
      <protection locked="0"/>
    </xf>
    <xf numFmtId="0" fontId="10" fillId="36" borderId="40" xfId="0" applyFont="1" applyFill="1" applyBorder="1" applyAlignment="1" applyProtection="1">
      <alignment horizontal="left" vertical="center" wrapText="1"/>
      <protection locked="0"/>
    </xf>
    <xf numFmtId="0" fontId="49" fillId="0" borderId="75" xfId="0" applyFont="1" applyBorder="1" applyAlignment="1">
      <alignment horizontal="left" vertical="center" wrapText="1"/>
    </xf>
    <xf numFmtId="0" fontId="76" fillId="0" borderId="0" xfId="0" applyFont="1" applyBorder="1" applyAlignment="1">
      <alignment horizontal="left" vertical="center" wrapText="1"/>
    </xf>
    <xf numFmtId="0" fontId="7" fillId="32" borderId="19"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7" fillId="32" borderId="19" xfId="0" applyFont="1" applyFill="1" applyBorder="1" applyAlignment="1">
      <alignment horizontal="left" vertical="center" wrapText="1"/>
    </xf>
    <xf numFmtId="0" fontId="7" fillId="32" borderId="31" xfId="0" applyFont="1" applyFill="1" applyBorder="1" applyAlignment="1">
      <alignment horizontal="left" vertical="center" wrapText="1"/>
    </xf>
    <xf numFmtId="0" fontId="9" fillId="36" borderId="39" xfId="0" applyFont="1" applyFill="1" applyBorder="1" applyAlignment="1" applyProtection="1">
      <alignment horizontal="left" vertical="center" wrapText="1"/>
      <protection locked="0"/>
    </xf>
    <xf numFmtId="0" fontId="9" fillId="36" borderId="40" xfId="0" applyFont="1" applyFill="1" applyBorder="1" applyAlignment="1" applyProtection="1">
      <alignment horizontal="left" vertical="center" wrapText="1"/>
      <protection locked="0"/>
    </xf>
    <xf numFmtId="0" fontId="8" fillId="32" borderId="29" xfId="0" applyFont="1" applyFill="1" applyBorder="1" applyAlignment="1">
      <alignment vertical="center" wrapText="1"/>
    </xf>
    <xf numFmtId="0" fontId="8" fillId="32" borderId="31" xfId="0" applyFont="1" applyFill="1" applyBorder="1" applyAlignment="1">
      <alignment vertical="center" wrapText="1"/>
    </xf>
    <xf numFmtId="0" fontId="8" fillId="32" borderId="19" xfId="0" applyFont="1" applyFill="1" applyBorder="1" applyAlignment="1">
      <alignment vertical="center" wrapText="1"/>
    </xf>
    <xf numFmtId="0" fontId="8" fillId="32" borderId="21" xfId="0" applyFont="1" applyFill="1" applyBorder="1" applyAlignment="1">
      <alignment vertical="center" wrapText="1"/>
    </xf>
    <xf numFmtId="0" fontId="9" fillId="36" borderId="49" xfId="0" applyFont="1" applyFill="1" applyBorder="1" applyAlignment="1" applyProtection="1">
      <alignment horizontal="left" vertical="center" wrapText="1"/>
      <protection locked="0"/>
    </xf>
    <xf numFmtId="0" fontId="9" fillId="36" borderId="38" xfId="0" applyFont="1" applyFill="1" applyBorder="1" applyAlignment="1" applyProtection="1">
      <alignment horizontal="left" vertical="center" wrapText="1"/>
      <protection locked="0"/>
    </xf>
    <xf numFmtId="0" fontId="9" fillId="36" borderId="50" xfId="0" applyFont="1" applyFill="1" applyBorder="1" applyAlignment="1" applyProtection="1">
      <alignment horizontal="left" vertical="center" wrapText="1"/>
      <protection locked="0"/>
    </xf>
    <xf numFmtId="0" fontId="9" fillId="36" borderId="41" xfId="0" applyFont="1" applyFill="1" applyBorder="1" applyAlignment="1" applyProtection="1">
      <alignment horizontal="left" vertical="center" wrapText="1"/>
      <protection locked="0"/>
    </xf>
    <xf numFmtId="0" fontId="48" fillId="0" borderId="0" xfId="0" applyFont="1" applyAlignment="1">
      <alignment horizontal="left" wrapText="1"/>
    </xf>
    <xf numFmtId="0" fontId="8" fillId="32" borderId="75" xfId="0" applyFont="1" applyFill="1" applyBorder="1" applyAlignment="1">
      <alignment horizontal="left" vertical="center" wrapText="1"/>
    </xf>
    <xf numFmtId="0" fontId="22" fillId="32" borderId="75" xfId="0" applyFont="1" applyFill="1" applyBorder="1" applyAlignment="1">
      <alignment horizontal="left" vertical="center" wrapText="1"/>
    </xf>
    <xf numFmtId="0" fontId="9" fillId="32" borderId="139" xfId="0" applyFont="1" applyFill="1" applyBorder="1" applyAlignment="1">
      <alignment horizontal="left" vertical="center" wrapText="1"/>
    </xf>
    <xf numFmtId="0" fontId="9" fillId="32" borderId="24" xfId="0" applyFont="1" applyFill="1" applyBorder="1" applyAlignment="1">
      <alignment horizontal="left" vertical="center" wrapText="1"/>
    </xf>
    <xf numFmtId="0" fontId="9" fillId="32" borderId="36" xfId="0" applyFont="1" applyFill="1" applyBorder="1" applyAlignment="1">
      <alignment horizontal="left" vertical="center" wrapText="1"/>
    </xf>
    <xf numFmtId="0" fontId="55" fillId="32" borderId="12" xfId="0" applyFont="1" applyFill="1" applyBorder="1" applyAlignment="1">
      <alignment horizontal="center" wrapText="1"/>
    </xf>
    <xf numFmtId="0" fontId="9" fillId="32" borderId="13" xfId="0" applyFont="1" applyFill="1" applyBorder="1" applyAlignment="1">
      <alignment horizontal="center" wrapText="1"/>
    </xf>
    <xf numFmtId="0" fontId="9" fillId="32" borderId="14" xfId="0" applyFont="1" applyFill="1" applyBorder="1" applyAlignment="1">
      <alignment horizontal="center" wrapText="1"/>
    </xf>
    <xf numFmtId="0" fontId="22" fillId="32" borderId="19" xfId="0" applyFont="1" applyFill="1" applyBorder="1" applyAlignment="1">
      <alignment horizontal="left" vertical="center" wrapText="1"/>
    </xf>
    <xf numFmtId="0" fontId="22" fillId="32" borderId="29" xfId="0" applyFont="1" applyFill="1" applyBorder="1" applyAlignment="1">
      <alignment horizontal="left" vertical="center" wrapText="1"/>
    </xf>
    <xf numFmtId="183" fontId="3" fillId="32" borderId="95" xfId="48" applyNumberFormat="1" applyFont="1" applyFill="1" applyBorder="1" applyAlignment="1">
      <alignment horizontal="center" vertical="center" wrapText="1"/>
    </xf>
    <xf numFmtId="183" fontId="3" fillId="32" borderId="10" xfId="48" applyNumberFormat="1" applyFont="1" applyFill="1" applyBorder="1" applyAlignment="1">
      <alignment horizontal="center" vertical="center" wrapText="1"/>
    </xf>
    <xf numFmtId="0" fontId="9" fillId="32" borderId="17" xfId="0" applyFont="1" applyFill="1" applyBorder="1" applyAlignment="1">
      <alignment horizontal="center" vertical="top" wrapText="1"/>
    </xf>
    <xf numFmtId="0" fontId="9" fillId="32" borderId="11" xfId="0" applyFont="1" applyFill="1" applyBorder="1" applyAlignment="1">
      <alignment horizontal="center" vertical="top" wrapText="1"/>
    </xf>
    <xf numFmtId="0" fontId="9" fillId="32" borderId="0" xfId="0" applyFont="1" applyFill="1" applyBorder="1" applyAlignment="1">
      <alignment horizontal="center" vertical="top" wrapText="1"/>
    </xf>
    <xf numFmtId="0" fontId="9" fillId="32" borderId="16" xfId="0" applyFont="1" applyFill="1" applyBorder="1" applyAlignment="1">
      <alignment horizontal="center" vertical="top" wrapText="1"/>
    </xf>
    <xf numFmtId="0" fontId="8" fillId="32" borderId="19" xfId="0" applyFont="1" applyFill="1" applyBorder="1" applyAlignment="1">
      <alignment horizontal="center" vertical="top" wrapText="1"/>
    </xf>
    <xf numFmtId="0" fontId="8" fillId="32" borderId="29" xfId="0" applyFont="1" applyFill="1" applyBorder="1" applyAlignment="1">
      <alignment horizontal="center" vertical="top" wrapText="1"/>
    </xf>
    <xf numFmtId="0" fontId="8" fillId="32" borderId="132" xfId="0" applyFont="1" applyFill="1" applyBorder="1" applyAlignment="1">
      <alignment horizontal="center" vertical="top" wrapText="1"/>
    </xf>
    <xf numFmtId="0" fontId="8" fillId="32" borderId="140"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37" xfId="0" applyFont="1" applyFill="1" applyBorder="1" applyAlignment="1">
      <alignment horizontal="center" vertical="center" wrapText="1"/>
    </xf>
    <xf numFmtId="0" fontId="8" fillId="32" borderId="141" xfId="0" applyFont="1" applyFill="1" applyBorder="1" applyAlignment="1">
      <alignment horizontal="center" vertical="center" wrapText="1"/>
    </xf>
    <xf numFmtId="0" fontId="40" fillId="32" borderId="11" xfId="0" applyFont="1" applyFill="1" applyBorder="1" applyAlignment="1">
      <alignment horizontal="left" vertical="top" wrapText="1"/>
    </xf>
    <xf numFmtId="0" fontId="40" fillId="32" borderId="142" xfId="0" applyFont="1" applyFill="1" applyBorder="1" applyAlignment="1">
      <alignment horizontal="left" vertical="top" wrapText="1"/>
    </xf>
    <xf numFmtId="0" fontId="18" fillId="50" borderId="15" xfId="0" applyFont="1" applyFill="1" applyBorder="1" applyAlignment="1">
      <alignment horizontal="center" vertical="center" wrapText="1"/>
    </xf>
    <xf numFmtId="0" fontId="18" fillId="50" borderId="0" xfId="0" applyFont="1" applyFill="1" applyBorder="1" applyAlignment="1">
      <alignment horizontal="center" vertical="center" wrapText="1"/>
    </xf>
    <xf numFmtId="0" fontId="18" fillId="50" borderId="16"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3" fillId="32" borderId="19" xfId="0" applyFont="1" applyFill="1" applyBorder="1" applyAlignment="1">
      <alignment horizontal="left" vertical="center" wrapText="1"/>
    </xf>
    <xf numFmtId="0" fontId="3" fillId="32" borderId="29" xfId="0" applyFont="1" applyFill="1" applyBorder="1" applyAlignment="1">
      <alignment horizontal="left" vertical="center" wrapText="1"/>
    </xf>
    <xf numFmtId="0" fontId="3" fillId="32" borderId="31" xfId="0" applyFont="1" applyFill="1" applyBorder="1" applyAlignment="1">
      <alignment horizontal="left" vertical="center" wrapText="1"/>
    </xf>
    <xf numFmtId="0" fontId="9" fillId="32" borderId="19"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8" fillId="32" borderId="109" xfId="0" applyFont="1" applyFill="1" applyBorder="1" applyAlignment="1">
      <alignment horizontal="center" vertical="top" wrapText="1"/>
    </xf>
    <xf numFmtId="0" fontId="8" fillId="32" borderId="118" xfId="0" applyFont="1" applyFill="1" applyBorder="1" applyAlignment="1">
      <alignment horizontal="center" vertical="top" wrapText="1"/>
    </xf>
    <xf numFmtId="0" fontId="10" fillId="41" borderId="62" xfId="0" applyFont="1" applyFill="1" applyBorder="1" applyAlignment="1" quotePrefix="1">
      <alignment horizontal="center" vertical="center" wrapText="1"/>
    </xf>
    <xf numFmtId="0" fontId="10" fillId="41" borderId="42" xfId="0" applyFont="1" applyFill="1" applyBorder="1" applyAlignment="1" quotePrefix="1">
      <alignment horizontal="center" vertical="center" wrapText="1"/>
    </xf>
    <xf numFmtId="0" fontId="10" fillId="32" borderId="15" xfId="0" applyFont="1" applyFill="1" applyBorder="1" applyAlignment="1">
      <alignment horizontal="left" vertical="center" wrapText="1"/>
    </xf>
    <xf numFmtId="0" fontId="10" fillId="32" borderId="0" xfId="0" applyFont="1" applyFill="1" applyBorder="1" applyAlignment="1">
      <alignment horizontal="left" vertical="center" wrapText="1"/>
    </xf>
    <xf numFmtId="0" fontId="10" fillId="32" borderId="16" xfId="0" applyFont="1" applyFill="1" applyBorder="1" applyAlignment="1">
      <alignment horizontal="left" vertical="center" wrapText="1"/>
    </xf>
    <xf numFmtId="0" fontId="8" fillId="32" borderId="119" xfId="0" applyFont="1" applyFill="1" applyBorder="1" applyAlignment="1">
      <alignment horizontal="center" vertical="top" wrapText="1"/>
    </xf>
    <xf numFmtId="0" fontId="0" fillId="36" borderId="12"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15"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1" xfId="0" applyFont="1" applyFill="1" applyBorder="1" applyAlignment="1">
      <alignment horizontal="left" vertical="top" wrapText="1"/>
    </xf>
    <xf numFmtId="0" fontId="0" fillId="36" borderId="18" xfId="0" applyFont="1" applyFill="1" applyBorder="1" applyAlignment="1">
      <alignment horizontal="left" vertical="top" wrapText="1"/>
    </xf>
    <xf numFmtId="0" fontId="9" fillId="0" borderId="111" xfId="0" applyFont="1" applyFill="1" applyBorder="1" applyAlignment="1" applyProtection="1">
      <alignment horizontal="center" vertical="center" wrapText="1"/>
      <protection locked="0"/>
    </xf>
    <xf numFmtId="0" fontId="9" fillId="0" borderId="77" xfId="0" applyFont="1" applyFill="1" applyBorder="1" applyAlignment="1" applyProtection="1">
      <alignment horizontal="center" vertical="center" wrapText="1"/>
      <protection locked="0"/>
    </xf>
    <xf numFmtId="0" fontId="9" fillId="0" borderId="143" xfId="0" applyFont="1" applyFill="1" applyBorder="1" applyAlignment="1" applyProtection="1">
      <alignment horizontal="center" vertical="center" wrapText="1"/>
      <protection locked="0"/>
    </xf>
    <xf numFmtId="0" fontId="9" fillId="0" borderId="144" xfId="0" applyFont="1" applyFill="1" applyBorder="1" applyAlignment="1" applyProtection="1">
      <alignment horizontal="center" vertical="center" wrapText="1"/>
      <protection locked="0"/>
    </xf>
    <xf numFmtId="0" fontId="9" fillId="0" borderId="145" xfId="0" applyFont="1" applyFill="1" applyBorder="1" applyAlignment="1" applyProtection="1">
      <alignment horizontal="center" vertical="center" wrapText="1"/>
      <protection locked="0"/>
    </xf>
    <xf numFmtId="0" fontId="9" fillId="0" borderId="146" xfId="0" applyFont="1" applyFill="1" applyBorder="1" applyAlignment="1" applyProtection="1">
      <alignment horizontal="center" vertical="center" wrapText="1"/>
      <protection locked="0"/>
    </xf>
    <xf numFmtId="49" fontId="9" fillId="0" borderId="111" xfId="0" applyNumberFormat="1" applyFont="1" applyFill="1" applyBorder="1" applyAlignment="1" applyProtection="1">
      <alignment horizontal="center" vertical="center" wrapText="1"/>
      <protection locked="0"/>
    </xf>
    <xf numFmtId="49" fontId="9" fillId="0" borderId="77" xfId="0" applyNumberFormat="1" applyFont="1" applyFill="1" applyBorder="1" applyAlignment="1" applyProtection="1">
      <alignment horizontal="center" vertical="center" wrapText="1"/>
      <protection locked="0"/>
    </xf>
    <xf numFmtId="49" fontId="9" fillId="0" borderId="143" xfId="0" applyNumberFormat="1" applyFont="1" applyFill="1" applyBorder="1" applyAlignment="1" applyProtection="1">
      <alignment horizontal="center" vertical="center" wrapText="1"/>
      <protection locked="0"/>
    </xf>
    <xf numFmtId="0" fontId="62" fillId="0" borderId="0" xfId="0" applyFont="1" applyFill="1" applyAlignment="1">
      <alignment horizontal="left" vertical="center"/>
    </xf>
    <xf numFmtId="0" fontId="63" fillId="0" borderId="0" xfId="0" applyFont="1" applyAlignment="1">
      <alignment horizontal="left" vertical="center"/>
    </xf>
    <xf numFmtId="0" fontId="66" fillId="0" borderId="3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36" xfId="0" applyFont="1" applyBorder="1" applyAlignment="1">
      <alignment horizontal="center" vertical="center" wrapText="1"/>
    </xf>
    <xf numFmtId="0" fontId="14" fillId="0" borderId="111" xfId="0" applyFont="1" applyFill="1" applyBorder="1" applyAlignment="1" applyProtection="1">
      <alignment horizontal="center" vertical="center" wrapText="1"/>
      <protection locked="0"/>
    </xf>
    <xf numFmtId="0" fontId="14" fillId="0" borderId="77" xfId="0" applyFont="1" applyFill="1" applyBorder="1" applyAlignment="1" applyProtection="1">
      <alignment horizontal="center" vertical="center" wrapText="1"/>
      <protection locked="0"/>
    </xf>
    <xf numFmtId="0" fontId="14" fillId="0" borderId="143" xfId="0" applyFont="1" applyFill="1" applyBorder="1" applyAlignment="1" applyProtection="1">
      <alignment horizontal="center" vertical="center" wrapText="1"/>
      <protection locked="0"/>
    </xf>
    <xf numFmtId="0" fontId="9" fillId="0" borderId="147" xfId="0" applyFont="1" applyFill="1" applyBorder="1" applyAlignment="1" applyProtection="1">
      <alignment horizontal="center" vertical="center" wrapText="1"/>
      <protection locked="0"/>
    </xf>
    <xf numFmtId="0" fontId="9" fillId="0" borderId="148" xfId="0" applyFont="1" applyFill="1" applyBorder="1" applyAlignment="1" applyProtection="1">
      <alignment horizontal="center" vertical="center" wrapText="1"/>
      <protection locked="0"/>
    </xf>
    <xf numFmtId="0" fontId="9" fillId="0" borderId="149" xfId="0" applyFont="1" applyFill="1" applyBorder="1" applyAlignment="1" applyProtection="1">
      <alignment horizontal="center" vertical="center" wrapText="1"/>
      <protection locked="0"/>
    </xf>
    <xf numFmtId="0" fontId="18" fillId="32" borderId="53" xfId="0" applyFont="1" applyFill="1" applyBorder="1" applyAlignment="1">
      <alignment horizontal="center" vertical="center" wrapText="1"/>
    </xf>
    <xf numFmtId="0" fontId="18" fillId="32" borderId="54" xfId="0" applyFont="1" applyFill="1" applyBorder="1" applyAlignment="1">
      <alignment horizontal="center" vertical="center" wrapText="1"/>
    </xf>
    <xf numFmtId="0" fontId="18" fillId="32" borderId="55" xfId="0" applyFont="1" applyFill="1" applyBorder="1" applyAlignment="1">
      <alignment horizontal="center" vertical="center" wrapText="1"/>
    </xf>
    <xf numFmtId="0" fontId="10" fillId="0" borderId="39" xfId="0" applyFont="1" applyBorder="1" applyAlignment="1">
      <alignment horizontal="left" vertical="center" wrapText="1"/>
    </xf>
    <xf numFmtId="0" fontId="10" fillId="0" borderId="39" xfId="0" applyFont="1" applyFill="1" applyBorder="1" applyAlignment="1" applyProtection="1">
      <alignment horizontal="left" vertical="center" wrapText="1"/>
      <protection locked="0"/>
    </xf>
    <xf numFmtId="0" fontId="10" fillId="0" borderId="40" xfId="0" applyFont="1" applyFill="1" applyBorder="1" applyAlignment="1" applyProtection="1">
      <alignment horizontal="left" vertical="center" wrapText="1"/>
      <protection locked="0"/>
    </xf>
    <xf numFmtId="0" fontId="18" fillId="32" borderId="124" xfId="0" applyFont="1" applyFill="1" applyBorder="1" applyAlignment="1">
      <alignment horizontal="center" vertical="center" wrapText="1"/>
    </xf>
    <xf numFmtId="0" fontId="18" fillId="32" borderId="29" xfId="0" applyFont="1" applyFill="1" applyBorder="1" applyAlignment="1">
      <alignment horizontal="center" vertical="center" wrapText="1"/>
    </xf>
    <xf numFmtId="0" fontId="18" fillId="32" borderId="31" xfId="0" applyFont="1" applyFill="1" applyBorder="1" applyAlignment="1">
      <alignment horizontal="center" vertical="center" wrapText="1"/>
    </xf>
    <xf numFmtId="0" fontId="18" fillId="32" borderId="95" xfId="0" applyFont="1" applyFill="1" applyBorder="1" applyAlignment="1">
      <alignment horizontal="left" vertical="center" wrapText="1"/>
    </xf>
    <xf numFmtId="0" fontId="18" fillId="32" borderId="75" xfId="0" applyFont="1" applyFill="1" applyBorder="1" applyAlignment="1">
      <alignment horizontal="left" vertical="center" wrapText="1"/>
    </xf>
    <xf numFmtId="0" fontId="10" fillId="0" borderId="86" xfId="0" applyFont="1" applyBorder="1" applyAlignment="1">
      <alignment horizontal="left" vertical="center" wrapText="1"/>
    </xf>
    <xf numFmtId="0" fontId="10" fillId="0" borderId="79" xfId="0" applyFont="1" applyBorder="1" applyAlignment="1">
      <alignment horizontal="left" vertical="center" wrapText="1"/>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8" fillId="32" borderId="19" xfId="0" applyFont="1" applyFill="1" applyBorder="1" applyAlignment="1">
      <alignment horizontal="left" vertical="center" wrapText="1"/>
    </xf>
    <xf numFmtId="0" fontId="18" fillId="32" borderId="29" xfId="0" applyFont="1" applyFill="1" applyBorder="1" applyAlignment="1">
      <alignment horizontal="left" vertical="center" wrapText="1"/>
    </xf>
    <xf numFmtId="0" fontId="8" fillId="36" borderId="95" xfId="0" applyNumberFormat="1" applyFont="1" applyFill="1" applyBorder="1" applyAlignment="1" applyProtection="1">
      <alignment horizontal="center" vertical="center" wrapText="1"/>
      <protection/>
    </xf>
    <xf numFmtId="2" fontId="8" fillId="36" borderId="10" xfId="0" applyNumberFormat="1" applyFont="1" applyFill="1" applyBorder="1" applyAlignment="1" applyProtection="1">
      <alignment horizontal="center" vertical="center" wrapText="1"/>
      <protection/>
    </xf>
    <xf numFmtId="0" fontId="10" fillId="0" borderId="84" xfId="0" applyFont="1" applyBorder="1" applyAlignment="1">
      <alignment horizontal="left" vertical="center" wrapText="1"/>
    </xf>
    <xf numFmtId="0" fontId="10" fillId="0" borderId="150" xfId="0" applyFont="1" applyBorder="1" applyAlignment="1">
      <alignment horizontal="left" vertical="center" wrapText="1"/>
    </xf>
    <xf numFmtId="0" fontId="18" fillId="32" borderId="124" xfId="0" applyFont="1" applyFill="1" applyBorder="1" applyAlignment="1">
      <alignment horizontal="left" vertical="center" wrapText="1"/>
    </xf>
    <xf numFmtId="0" fontId="18" fillId="32" borderId="132" xfId="0" applyFont="1" applyFill="1" applyBorder="1" applyAlignment="1">
      <alignment horizontal="left" vertical="center" wrapText="1"/>
    </xf>
    <xf numFmtId="0" fontId="46" fillId="32" borderId="140" xfId="0" applyFont="1" applyFill="1" applyBorder="1" applyAlignment="1">
      <alignment horizontal="center"/>
    </xf>
    <xf numFmtId="0" fontId="46" fillId="32" borderId="13" xfId="0" applyFont="1" applyFill="1" applyBorder="1" applyAlignment="1">
      <alignment horizontal="center"/>
    </xf>
    <xf numFmtId="0" fontId="18" fillId="32" borderId="11" xfId="0" applyFont="1" applyFill="1" applyBorder="1" applyAlignment="1" applyProtection="1">
      <alignment horizontal="center" vertical="center" wrapText="1"/>
      <protection locked="0"/>
    </xf>
    <xf numFmtId="0" fontId="18" fillId="32" borderId="18" xfId="0" applyFont="1" applyFill="1" applyBorder="1" applyAlignment="1" applyProtection="1">
      <alignment horizontal="center" vertical="center" wrapText="1"/>
      <protection locked="0"/>
    </xf>
    <xf numFmtId="0" fontId="18" fillId="32" borderId="0" xfId="0" applyFont="1" applyFill="1" applyBorder="1" applyAlignment="1" applyProtection="1">
      <alignment horizontal="center" vertical="center" wrapText="1"/>
      <protection locked="0"/>
    </xf>
    <xf numFmtId="0" fontId="18" fillId="32" borderId="16" xfId="0" applyFont="1" applyFill="1" applyBorder="1" applyAlignment="1" applyProtection="1">
      <alignment horizontal="center" vertical="center" wrapText="1"/>
      <protection locked="0"/>
    </xf>
    <xf numFmtId="0" fontId="1" fillId="32" borderId="21" xfId="0" applyFont="1" applyFill="1" applyBorder="1" applyAlignment="1">
      <alignment horizontal="left" vertical="center" wrapText="1"/>
    </xf>
    <xf numFmtId="0" fontId="1" fillId="32" borderId="19" xfId="0" applyFont="1" applyFill="1" applyBorder="1" applyAlignment="1">
      <alignment horizontal="left" vertical="center" wrapText="1"/>
    </xf>
    <xf numFmtId="2" fontId="11" fillId="32" borderId="40" xfId="0" applyNumberFormat="1" applyFont="1" applyFill="1" applyBorder="1" applyAlignment="1">
      <alignment horizontal="center" vertical="center" wrapText="1"/>
    </xf>
    <xf numFmtId="2" fontId="11" fillId="32" borderId="52" xfId="0" applyNumberFormat="1" applyFont="1" applyFill="1" applyBorder="1" applyAlignment="1">
      <alignment horizontal="center" vertical="center" wrapText="1"/>
    </xf>
    <xf numFmtId="191" fontId="65" fillId="0" borderId="0" xfId="0" applyNumberFormat="1" applyFont="1" applyAlignment="1">
      <alignment horizontal="center"/>
    </xf>
    <xf numFmtId="184" fontId="3" fillId="32" borderId="95" xfId="0" applyNumberFormat="1" applyFont="1" applyFill="1" applyBorder="1" applyAlignment="1">
      <alignment horizontal="center" vertical="center" wrapText="1"/>
    </xf>
    <xf numFmtId="184" fontId="3" fillId="32" borderId="10" xfId="0" applyNumberFormat="1" applyFont="1" applyFill="1" applyBorder="1" applyAlignment="1">
      <alignment horizontal="center" vertical="center" wrapText="1"/>
    </xf>
    <xf numFmtId="2" fontId="11" fillId="32" borderId="38" xfId="0" applyNumberFormat="1" applyFont="1" applyFill="1" applyBorder="1" applyAlignment="1">
      <alignment horizontal="center" vertical="center" wrapText="1"/>
    </xf>
    <xf numFmtId="2" fontId="11" fillId="32" borderId="51" xfId="0" applyNumberFormat="1" applyFont="1" applyFill="1" applyBorder="1" applyAlignment="1">
      <alignment horizontal="center" vertical="center" wrapText="1"/>
    </xf>
    <xf numFmtId="0" fontId="0" fillId="32" borderId="40" xfId="0" applyFont="1" applyFill="1" applyBorder="1" applyAlignment="1">
      <alignment horizontal="center" vertical="center" wrapText="1"/>
    </xf>
    <xf numFmtId="0" fontId="0" fillId="32" borderId="41" xfId="0" applyFont="1" applyFill="1" applyBorder="1" applyAlignment="1">
      <alignment horizontal="center" vertical="center" wrapText="1"/>
    </xf>
    <xf numFmtId="0" fontId="21" fillId="0" borderId="0" xfId="0" applyFont="1" applyBorder="1" applyAlignment="1">
      <alignment wrapText="1"/>
    </xf>
    <xf numFmtId="184" fontId="2" fillId="32" borderId="95" xfId="0" applyNumberFormat="1" applyFont="1" applyFill="1" applyBorder="1" applyAlignment="1">
      <alignment horizontal="center" vertical="center"/>
    </xf>
    <xf numFmtId="184" fontId="2" fillId="32" borderId="10" xfId="0" applyNumberFormat="1" applyFont="1" applyFill="1" applyBorder="1" applyAlignment="1">
      <alignment horizontal="center" vertical="center"/>
    </xf>
    <xf numFmtId="0" fontId="0" fillId="32" borderId="19" xfId="0" applyFill="1" applyBorder="1" applyAlignment="1">
      <alignment horizontal="center" vertical="center"/>
    </xf>
    <xf numFmtId="0" fontId="0" fillId="32" borderId="29" xfId="0" applyFill="1" applyBorder="1" applyAlignment="1">
      <alignment horizontal="center" vertical="center"/>
    </xf>
    <xf numFmtId="2" fontId="11" fillId="32" borderId="65" xfId="0" applyNumberFormat="1" applyFont="1" applyFill="1" applyBorder="1" applyAlignment="1">
      <alignment horizontal="center" vertical="center" wrapText="1"/>
    </xf>
    <xf numFmtId="2" fontId="11" fillId="32" borderId="66" xfId="0" applyNumberFormat="1" applyFont="1" applyFill="1" applyBorder="1" applyAlignment="1">
      <alignment horizontal="center" vertical="center" wrapText="1"/>
    </xf>
    <xf numFmtId="0" fontId="21" fillId="0" borderId="0" xfId="0" applyFont="1" applyBorder="1" applyAlignment="1">
      <alignment horizontal="center" wrapText="1"/>
    </xf>
    <xf numFmtId="0" fontId="3" fillId="32" borderId="19" xfId="0" applyFont="1" applyFill="1" applyBorder="1" applyAlignment="1">
      <alignment wrapText="1"/>
    </xf>
    <xf numFmtId="0" fontId="3" fillId="32" borderId="29" xfId="0" applyFont="1" applyFill="1" applyBorder="1" applyAlignment="1">
      <alignment wrapText="1"/>
    </xf>
    <xf numFmtId="0" fontId="3" fillId="32" borderId="31" xfId="0" applyFont="1" applyFill="1" applyBorder="1" applyAlignment="1">
      <alignment wrapText="1"/>
    </xf>
    <xf numFmtId="0" fontId="18" fillId="32" borderId="19" xfId="0" applyFont="1" applyFill="1" applyBorder="1" applyAlignment="1">
      <alignment horizontal="center" wrapText="1"/>
    </xf>
    <xf numFmtId="0" fontId="18" fillId="32" borderId="29" xfId="0" applyFont="1" applyFill="1" applyBorder="1" applyAlignment="1">
      <alignment horizontal="center" wrapText="1"/>
    </xf>
    <xf numFmtId="0" fontId="18" fillId="32" borderId="31" xfId="0" applyFont="1" applyFill="1" applyBorder="1" applyAlignment="1">
      <alignment horizontal="center" wrapText="1"/>
    </xf>
    <xf numFmtId="0" fontId="1" fillId="32" borderId="21" xfId="0" applyFont="1" applyFill="1" applyBorder="1" applyAlignment="1">
      <alignment vertical="center" wrapText="1"/>
    </xf>
    <xf numFmtId="0" fontId="1" fillId="32" borderId="19" xfId="0" applyFont="1" applyFill="1" applyBorder="1" applyAlignment="1">
      <alignment vertical="center" wrapText="1"/>
    </xf>
    <xf numFmtId="0" fontId="11" fillId="32" borderId="2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0" fillId="36" borderId="38" xfId="0"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wrapText="1"/>
      <protection locked="0"/>
    </xf>
    <xf numFmtId="0" fontId="10" fillId="32" borderId="12"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9" fillId="32" borderId="21" xfId="0" applyFont="1" applyFill="1" applyBorder="1" applyAlignment="1">
      <alignment horizontal="center" vertical="center" wrapText="1"/>
    </xf>
    <xf numFmtId="0" fontId="9" fillId="32" borderId="31" xfId="0" applyFont="1" applyFill="1" applyBorder="1" applyAlignment="1">
      <alignment horizontal="center" vertical="center" wrapText="1"/>
    </xf>
    <xf numFmtId="0" fontId="14" fillId="32" borderId="28" xfId="0" applyFont="1" applyFill="1" applyBorder="1" applyAlignment="1">
      <alignment horizontal="center" vertical="center" wrapText="1"/>
    </xf>
    <xf numFmtId="0" fontId="14" fillId="32" borderId="21" xfId="0" applyFont="1" applyFill="1" applyBorder="1" applyAlignment="1">
      <alignment horizontal="center" vertical="center" wrapText="1"/>
    </xf>
    <xf numFmtId="0" fontId="10" fillId="32" borderId="19" xfId="0" applyFont="1" applyFill="1" applyBorder="1" applyAlignment="1">
      <alignment horizontal="center" vertical="top" wrapText="1"/>
    </xf>
    <xf numFmtId="0" fontId="10" fillId="32" borderId="29" xfId="0" applyFont="1" applyFill="1" applyBorder="1" applyAlignment="1">
      <alignment horizontal="center" vertical="top" wrapText="1"/>
    </xf>
    <xf numFmtId="0" fontId="0" fillId="36" borderId="12" xfId="0" applyFill="1" applyBorder="1" applyAlignment="1" applyProtection="1">
      <alignment horizontal="left" vertical="top"/>
      <protection locked="0"/>
    </xf>
    <xf numFmtId="0" fontId="0" fillId="36" borderId="13" xfId="0" applyFill="1" applyBorder="1" applyAlignment="1" applyProtection="1">
      <alignment horizontal="left" vertical="top"/>
      <protection locked="0"/>
    </xf>
    <xf numFmtId="0" fontId="0" fillId="36" borderId="14" xfId="0" applyFill="1" applyBorder="1" applyAlignment="1" applyProtection="1">
      <alignment horizontal="left" vertical="top"/>
      <protection locked="0"/>
    </xf>
    <xf numFmtId="0" fontId="0" fillId="36" borderId="15"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16"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1"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1" fillId="36" borderId="83" xfId="0" applyFont="1" applyFill="1" applyBorder="1" applyAlignment="1" applyProtection="1">
      <alignment horizontal="left" vertical="center" wrapText="1"/>
      <protection locked="0"/>
    </xf>
    <xf numFmtId="43" fontId="83" fillId="36" borderId="83" xfId="49" applyNumberFormat="1" applyFont="1" applyFill="1" applyBorder="1" applyAlignment="1" applyProtection="1">
      <alignment horizontal="left" vertical="center" wrapText="1"/>
      <protection locked="0"/>
    </xf>
    <xf numFmtId="43" fontId="10" fillId="36" borderId="83" xfId="48" applyFont="1" applyFill="1" applyBorder="1" applyAlignment="1" applyProtection="1">
      <alignment horizontal="left" vertical="center" wrapText="1"/>
      <protection locked="0"/>
    </xf>
    <xf numFmtId="0" fontId="1" fillId="36" borderId="81" xfId="0" applyFont="1" applyFill="1" applyBorder="1" applyAlignment="1" applyProtection="1">
      <alignment horizontal="left" vertical="center" wrapText="1"/>
      <protection locked="0"/>
    </xf>
    <xf numFmtId="43" fontId="10" fillId="36" borderId="81" xfId="48" applyFont="1" applyFill="1" applyBorder="1" applyAlignment="1" applyProtection="1">
      <alignment horizontal="left" vertical="center" wrapText="1"/>
      <protection locked="0"/>
    </xf>
    <xf numFmtId="0" fontId="6" fillId="32" borderId="29" xfId="0" applyFont="1" applyFill="1" applyBorder="1" applyAlignment="1">
      <alignment vertical="center" wrapText="1"/>
    </xf>
    <xf numFmtId="0" fontId="6" fillId="32" borderId="31" xfId="0" applyFont="1" applyFill="1" applyBorder="1" applyAlignment="1">
      <alignment vertical="center" wrapText="1"/>
    </xf>
    <xf numFmtId="0" fontId="3" fillId="32" borderId="13"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2" fillId="0" borderId="11" xfId="0" applyFont="1" applyBorder="1" applyAlignment="1">
      <alignment horizontal="left" wrapText="1"/>
    </xf>
    <xf numFmtId="0" fontId="0" fillId="36" borderId="81" xfId="0" applyFont="1" applyFill="1" applyBorder="1" applyAlignment="1" applyProtection="1">
      <alignment horizontal="left" vertical="center" wrapText="1"/>
      <protection locked="0"/>
    </xf>
    <xf numFmtId="43" fontId="0" fillId="36" borderId="81" xfId="48" applyFont="1" applyFill="1" applyBorder="1" applyAlignment="1" applyProtection="1">
      <alignment horizontal="left" vertical="center" wrapText="1"/>
      <protection locked="0"/>
    </xf>
    <xf numFmtId="43" fontId="0" fillId="36" borderId="83" xfId="48" applyFont="1" applyFill="1" applyBorder="1" applyAlignment="1" applyProtection="1">
      <alignment horizontal="left" vertical="center" wrapText="1"/>
      <protection locked="0"/>
    </xf>
    <xf numFmtId="0" fontId="0" fillId="36" borderId="82" xfId="0" applyFont="1" applyFill="1" applyBorder="1" applyAlignment="1" applyProtection="1">
      <alignment horizontal="left" vertical="center" wrapText="1"/>
      <protection locked="0"/>
    </xf>
    <xf numFmtId="43" fontId="0" fillId="36" borderId="82" xfId="48" applyFont="1" applyFill="1" applyBorder="1" applyAlignment="1" applyProtection="1">
      <alignment horizontal="left" vertical="center" wrapText="1"/>
      <protection locked="0"/>
    </xf>
    <xf numFmtId="0" fontId="0" fillId="36" borderId="83" xfId="0" applyFont="1" applyFill="1" applyBorder="1" applyAlignment="1" applyProtection="1">
      <alignment horizontal="left" vertical="center" wrapText="1"/>
      <protection locked="0"/>
    </xf>
    <xf numFmtId="0" fontId="10" fillId="32" borderId="13" xfId="0" applyFont="1" applyFill="1" applyBorder="1" applyAlignment="1">
      <alignment horizontal="left" wrapText="1"/>
    </xf>
    <xf numFmtId="0" fontId="18" fillId="32" borderId="13" xfId="0" applyFont="1" applyFill="1" applyBorder="1" applyAlignment="1">
      <alignment horizontal="left" vertical="center" wrapText="1"/>
    </xf>
    <xf numFmtId="0" fontId="10" fillId="32" borderId="13" xfId="0" applyFont="1" applyFill="1" applyBorder="1" applyAlignment="1">
      <alignment horizontal="left" vertical="center" wrapText="1"/>
    </xf>
    <xf numFmtId="0" fontId="18" fillId="32" borderId="13" xfId="0" applyFont="1" applyFill="1" applyBorder="1" applyAlignment="1">
      <alignment horizontal="lef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xdr:col>
      <xdr:colOff>0</xdr:colOff>
      <xdr:row>18</xdr:row>
      <xdr:rowOff>0</xdr:rowOff>
    </xdr:to>
    <xdr:sp>
      <xdr:nvSpPr>
        <xdr:cNvPr id="1" name="Rectangle 1"/>
        <xdr:cNvSpPr>
          <a:spLocks/>
        </xdr:cNvSpPr>
      </xdr:nvSpPr>
      <xdr:spPr>
        <a:xfrm>
          <a:off x="0" y="5133975"/>
          <a:ext cx="4286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0</xdr:row>
      <xdr:rowOff>161925</xdr:rowOff>
    </xdr:from>
    <xdr:to>
      <xdr:col>1</xdr:col>
      <xdr:colOff>3448050</xdr:colOff>
      <xdr:row>3</xdr:row>
      <xdr:rowOff>133350</xdr:rowOff>
    </xdr:to>
    <xdr:pic>
      <xdr:nvPicPr>
        <xdr:cNvPr id="2" name="Grafik 1"/>
        <xdr:cNvPicPr preferRelativeResize="1">
          <a:picLocks noChangeAspect="1"/>
        </xdr:cNvPicPr>
      </xdr:nvPicPr>
      <xdr:blipFill>
        <a:blip r:embed="rId1"/>
        <a:stretch>
          <a:fillRect/>
        </a:stretch>
      </xdr:blipFill>
      <xdr:spPr>
        <a:xfrm>
          <a:off x="276225" y="161925"/>
          <a:ext cx="360045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19050</xdr:rowOff>
    </xdr:from>
    <xdr:to>
      <xdr:col>3</xdr:col>
      <xdr:colOff>676275</xdr:colOff>
      <xdr:row>1</xdr:row>
      <xdr:rowOff>85725</xdr:rowOff>
    </xdr:to>
    <xdr:pic>
      <xdr:nvPicPr>
        <xdr:cNvPr id="1" name="Grafik 1"/>
        <xdr:cNvPicPr preferRelativeResize="1">
          <a:picLocks noChangeAspect="1"/>
        </xdr:cNvPicPr>
      </xdr:nvPicPr>
      <xdr:blipFill>
        <a:blip r:embed="rId1"/>
        <a:stretch>
          <a:fillRect/>
        </a:stretch>
      </xdr:blipFill>
      <xdr:spPr>
        <a:xfrm>
          <a:off x="3952875" y="19050"/>
          <a:ext cx="245745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1800225</xdr:colOff>
      <xdr:row>0</xdr:row>
      <xdr:rowOff>47625</xdr:rowOff>
    </xdr:from>
    <xdr:to>
      <xdr:col>3</xdr:col>
      <xdr:colOff>704850</xdr:colOff>
      <xdr:row>1</xdr:row>
      <xdr:rowOff>133350</xdr:rowOff>
    </xdr:to>
    <xdr:pic>
      <xdr:nvPicPr>
        <xdr:cNvPr id="1" name="Grafik 1"/>
        <xdr:cNvPicPr preferRelativeResize="1">
          <a:picLocks noChangeAspect="1"/>
        </xdr:cNvPicPr>
      </xdr:nvPicPr>
      <xdr:blipFill>
        <a:blip r:embed="rId1"/>
        <a:stretch>
          <a:fillRect/>
        </a:stretch>
      </xdr:blipFill>
      <xdr:spPr>
        <a:xfrm>
          <a:off x="3952875" y="47625"/>
          <a:ext cx="248602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47625</xdr:rowOff>
    </xdr:from>
    <xdr:to>
      <xdr:col>6</xdr:col>
      <xdr:colOff>876300</xdr:colOff>
      <xdr:row>1</xdr:row>
      <xdr:rowOff>114300</xdr:rowOff>
    </xdr:to>
    <xdr:pic>
      <xdr:nvPicPr>
        <xdr:cNvPr id="1" name="Grafik 1"/>
        <xdr:cNvPicPr preferRelativeResize="1">
          <a:picLocks noChangeAspect="1"/>
        </xdr:cNvPicPr>
      </xdr:nvPicPr>
      <xdr:blipFill>
        <a:blip r:embed="rId1"/>
        <a:stretch>
          <a:fillRect/>
        </a:stretch>
      </xdr:blipFill>
      <xdr:spPr>
        <a:xfrm>
          <a:off x="4038600" y="47625"/>
          <a:ext cx="2324100"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0</xdr:row>
      <xdr:rowOff>28575</xdr:rowOff>
    </xdr:from>
    <xdr:to>
      <xdr:col>3</xdr:col>
      <xdr:colOff>609600</xdr:colOff>
      <xdr:row>1</xdr:row>
      <xdr:rowOff>114300</xdr:rowOff>
    </xdr:to>
    <xdr:pic>
      <xdr:nvPicPr>
        <xdr:cNvPr id="1" name="Grafik 1"/>
        <xdr:cNvPicPr preferRelativeResize="1">
          <a:picLocks noChangeAspect="1"/>
        </xdr:cNvPicPr>
      </xdr:nvPicPr>
      <xdr:blipFill>
        <a:blip r:embed="rId1"/>
        <a:stretch>
          <a:fillRect/>
        </a:stretch>
      </xdr:blipFill>
      <xdr:spPr>
        <a:xfrm>
          <a:off x="3848100" y="28575"/>
          <a:ext cx="2495550"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1609725</xdr:colOff>
      <xdr:row>0</xdr:row>
      <xdr:rowOff>38100</xdr:rowOff>
    </xdr:from>
    <xdr:to>
      <xdr:col>3</xdr:col>
      <xdr:colOff>676275</xdr:colOff>
      <xdr:row>1</xdr:row>
      <xdr:rowOff>142875</xdr:rowOff>
    </xdr:to>
    <xdr:pic>
      <xdr:nvPicPr>
        <xdr:cNvPr id="1" name="Grafik 1"/>
        <xdr:cNvPicPr preferRelativeResize="1">
          <a:picLocks noChangeAspect="1"/>
        </xdr:cNvPicPr>
      </xdr:nvPicPr>
      <xdr:blipFill>
        <a:blip r:embed="rId1"/>
        <a:stretch>
          <a:fillRect/>
        </a:stretch>
      </xdr:blipFill>
      <xdr:spPr>
        <a:xfrm>
          <a:off x="3771900" y="38100"/>
          <a:ext cx="2638425"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0</xdr:rowOff>
    </xdr:from>
    <xdr:to>
      <xdr:col>6</xdr:col>
      <xdr:colOff>981075</xdr:colOff>
      <xdr:row>1</xdr:row>
      <xdr:rowOff>142875</xdr:rowOff>
    </xdr:to>
    <xdr:pic>
      <xdr:nvPicPr>
        <xdr:cNvPr id="1" name="Grafik 1"/>
        <xdr:cNvPicPr preferRelativeResize="1">
          <a:picLocks noChangeAspect="1"/>
        </xdr:cNvPicPr>
      </xdr:nvPicPr>
      <xdr:blipFill>
        <a:blip r:embed="rId1"/>
        <a:stretch>
          <a:fillRect/>
        </a:stretch>
      </xdr:blipFill>
      <xdr:spPr>
        <a:xfrm>
          <a:off x="3686175" y="0"/>
          <a:ext cx="274320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438150</xdr:colOff>
      <xdr:row>0</xdr:row>
      <xdr:rowOff>28575</xdr:rowOff>
    </xdr:from>
    <xdr:to>
      <xdr:col>12</xdr:col>
      <xdr:colOff>123825</xdr:colOff>
      <xdr:row>2</xdr:row>
      <xdr:rowOff>57150</xdr:rowOff>
    </xdr:to>
    <xdr:pic>
      <xdr:nvPicPr>
        <xdr:cNvPr id="1" name="Grafik 1"/>
        <xdr:cNvPicPr preferRelativeResize="1">
          <a:picLocks noChangeAspect="1"/>
        </xdr:cNvPicPr>
      </xdr:nvPicPr>
      <xdr:blipFill>
        <a:blip r:embed="rId1"/>
        <a:stretch>
          <a:fillRect/>
        </a:stretch>
      </xdr:blipFill>
      <xdr:spPr>
        <a:xfrm>
          <a:off x="3714750" y="28575"/>
          <a:ext cx="2847975" cy="428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0</xdr:rowOff>
    </xdr:from>
    <xdr:to>
      <xdr:col>12</xdr:col>
      <xdr:colOff>647700</xdr:colOff>
      <xdr:row>2</xdr:row>
      <xdr:rowOff>9525</xdr:rowOff>
    </xdr:to>
    <xdr:pic>
      <xdr:nvPicPr>
        <xdr:cNvPr id="1" name="Grafik 1"/>
        <xdr:cNvPicPr preferRelativeResize="1">
          <a:picLocks noChangeAspect="1"/>
        </xdr:cNvPicPr>
      </xdr:nvPicPr>
      <xdr:blipFill>
        <a:blip r:embed="rId1"/>
        <a:stretch>
          <a:fillRect/>
        </a:stretch>
      </xdr:blipFill>
      <xdr:spPr>
        <a:xfrm>
          <a:off x="3619500" y="0"/>
          <a:ext cx="2752725" cy="409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0</xdr:row>
      <xdr:rowOff>38100</xdr:rowOff>
    </xdr:from>
    <xdr:to>
      <xdr:col>9</xdr:col>
      <xdr:colOff>666750</xdr:colOff>
      <xdr:row>2</xdr:row>
      <xdr:rowOff>0</xdr:rowOff>
    </xdr:to>
    <xdr:pic>
      <xdr:nvPicPr>
        <xdr:cNvPr id="1" name="Grafik 1"/>
        <xdr:cNvPicPr preferRelativeResize="1">
          <a:picLocks noChangeAspect="1"/>
        </xdr:cNvPicPr>
      </xdr:nvPicPr>
      <xdr:blipFill>
        <a:blip r:embed="rId1"/>
        <a:stretch>
          <a:fillRect/>
        </a:stretch>
      </xdr:blipFill>
      <xdr:spPr>
        <a:xfrm>
          <a:off x="3781425" y="38100"/>
          <a:ext cx="2505075" cy="381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523875</xdr:colOff>
      <xdr:row>16</xdr:row>
      <xdr:rowOff>142875</xdr:rowOff>
    </xdr:from>
    <xdr:to>
      <xdr:col>21</xdr:col>
      <xdr:colOff>314325</xdr:colOff>
      <xdr:row>32</xdr:row>
      <xdr:rowOff>161925</xdr:rowOff>
    </xdr:to>
    <xdr:sp>
      <xdr:nvSpPr>
        <xdr:cNvPr id="1" name="AutoShape 22"/>
        <xdr:cNvSpPr>
          <a:spLocks/>
        </xdr:cNvSpPr>
      </xdr:nvSpPr>
      <xdr:spPr>
        <a:xfrm>
          <a:off x="8943975" y="3133725"/>
          <a:ext cx="609600" cy="3067050"/>
        </a:xfrm>
        <a:prstGeom prst="downArrow">
          <a:avLst>
            <a:gd name="adj" fmla="val 20856"/>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56</xdr:row>
      <xdr:rowOff>38100</xdr:rowOff>
    </xdr:from>
    <xdr:to>
      <xdr:col>11</xdr:col>
      <xdr:colOff>742950</xdr:colOff>
      <xdr:row>61</xdr:row>
      <xdr:rowOff>47625</xdr:rowOff>
    </xdr:to>
    <xdr:sp>
      <xdr:nvSpPr>
        <xdr:cNvPr id="2" name="AutoShape 25"/>
        <xdr:cNvSpPr>
          <a:spLocks/>
        </xdr:cNvSpPr>
      </xdr:nvSpPr>
      <xdr:spPr>
        <a:xfrm>
          <a:off x="4962525" y="10696575"/>
          <a:ext cx="552450" cy="819150"/>
        </a:xfrm>
        <a:prstGeom prst="upArrow">
          <a:avLst>
            <a:gd name="adj" fmla="val -24083"/>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55</xdr:row>
      <xdr:rowOff>85725</xdr:rowOff>
    </xdr:from>
    <xdr:to>
      <xdr:col>24</xdr:col>
      <xdr:colOff>9525</xdr:colOff>
      <xdr:row>60</xdr:row>
      <xdr:rowOff>152400</xdr:rowOff>
    </xdr:to>
    <xdr:sp>
      <xdr:nvSpPr>
        <xdr:cNvPr id="3" name="AutoShape 26"/>
        <xdr:cNvSpPr>
          <a:spLocks/>
        </xdr:cNvSpPr>
      </xdr:nvSpPr>
      <xdr:spPr>
        <a:xfrm>
          <a:off x="11049000" y="10582275"/>
          <a:ext cx="552450" cy="876300"/>
        </a:xfrm>
        <a:prstGeom prst="upArrow">
          <a:avLst>
            <a:gd name="adj" fmla="val -24361"/>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485775</xdr:colOff>
      <xdr:row>59</xdr:row>
      <xdr:rowOff>19050</xdr:rowOff>
    </xdr:from>
    <xdr:to>
      <xdr:col>21</xdr:col>
      <xdr:colOff>914400</xdr:colOff>
      <xdr:row>61</xdr:row>
      <xdr:rowOff>38100</xdr:rowOff>
    </xdr:to>
    <xdr:sp>
      <xdr:nvSpPr>
        <xdr:cNvPr id="4" name="AutoShape 27"/>
        <xdr:cNvSpPr>
          <a:spLocks/>
        </xdr:cNvSpPr>
      </xdr:nvSpPr>
      <xdr:spPr>
        <a:xfrm rot="10800000">
          <a:off x="6438900" y="11163300"/>
          <a:ext cx="3714750" cy="3429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685800</xdr:colOff>
      <xdr:row>0</xdr:row>
      <xdr:rowOff>28575</xdr:rowOff>
    </xdr:from>
    <xdr:to>
      <xdr:col>13</xdr:col>
      <xdr:colOff>314325</xdr:colOff>
      <xdr:row>1</xdr:row>
      <xdr:rowOff>47625</xdr:rowOff>
    </xdr:to>
    <xdr:pic>
      <xdr:nvPicPr>
        <xdr:cNvPr id="5" name="Grafik 1"/>
        <xdr:cNvPicPr preferRelativeResize="1">
          <a:picLocks noChangeAspect="1"/>
        </xdr:cNvPicPr>
      </xdr:nvPicPr>
      <xdr:blipFill>
        <a:blip r:embed="rId1"/>
        <a:stretch>
          <a:fillRect/>
        </a:stretch>
      </xdr:blipFill>
      <xdr:spPr>
        <a:xfrm>
          <a:off x="4171950" y="28575"/>
          <a:ext cx="2095500" cy="314325"/>
        </a:xfrm>
        <a:prstGeom prst="rect">
          <a:avLst/>
        </a:prstGeom>
        <a:noFill/>
        <a:ln w="9525" cmpd="sng">
          <a:noFill/>
        </a:ln>
      </xdr:spPr>
    </xdr:pic>
    <xdr:clientData/>
  </xdr:twoCellAnchor>
  <xdr:twoCellAnchor>
    <xdr:from>
      <xdr:col>1</xdr:col>
      <xdr:colOff>647700</xdr:colOff>
      <xdr:row>2</xdr:row>
      <xdr:rowOff>266700</xdr:rowOff>
    </xdr:from>
    <xdr:to>
      <xdr:col>3</xdr:col>
      <xdr:colOff>276225</xdr:colOff>
      <xdr:row>5</xdr:row>
      <xdr:rowOff>28575</xdr:rowOff>
    </xdr:to>
    <xdr:sp>
      <xdr:nvSpPr>
        <xdr:cNvPr id="6" name="AutoShape 22"/>
        <xdr:cNvSpPr>
          <a:spLocks/>
        </xdr:cNvSpPr>
      </xdr:nvSpPr>
      <xdr:spPr>
        <a:xfrm rot="16200000">
          <a:off x="942975" y="619125"/>
          <a:ext cx="1247775" cy="352425"/>
        </a:xfrm>
        <a:prstGeom prst="downArrow">
          <a:avLst>
            <a:gd name="adj" fmla="val 4754"/>
          </a:avLst>
        </a:prstGeom>
        <a:gradFill rotWithShape="1">
          <a:gsLst>
            <a:gs pos="0">
              <a:srgbClr val="FF0000"/>
            </a:gs>
            <a:gs pos="100000">
              <a:srgbClr val="76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3</xdr:col>
      <xdr:colOff>2514600</xdr:colOff>
      <xdr:row>9</xdr:row>
      <xdr:rowOff>3028950</xdr:rowOff>
    </xdr:to>
    <xdr:sp fLocksText="0">
      <xdr:nvSpPr>
        <xdr:cNvPr id="1" name="Text Box 5"/>
        <xdr:cNvSpPr txBox="1">
          <a:spLocks noChangeArrowheads="1"/>
        </xdr:cNvSpPr>
      </xdr:nvSpPr>
      <xdr:spPr>
        <a:xfrm>
          <a:off x="9525" y="2152650"/>
          <a:ext cx="5657850" cy="300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11</xdr:row>
      <xdr:rowOff>123825</xdr:rowOff>
    </xdr:from>
    <xdr:to>
      <xdr:col>3</xdr:col>
      <xdr:colOff>2524125</xdr:colOff>
      <xdr:row>12</xdr:row>
      <xdr:rowOff>1628775</xdr:rowOff>
    </xdr:to>
    <xdr:sp fLocksText="0">
      <xdr:nvSpPr>
        <xdr:cNvPr id="2" name="Text Box 6"/>
        <xdr:cNvSpPr txBox="1">
          <a:spLocks noChangeArrowheads="1"/>
        </xdr:cNvSpPr>
      </xdr:nvSpPr>
      <xdr:spPr>
        <a:xfrm>
          <a:off x="0" y="5619750"/>
          <a:ext cx="567690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14</xdr:row>
      <xdr:rowOff>76200</xdr:rowOff>
    </xdr:from>
    <xdr:to>
      <xdr:col>3</xdr:col>
      <xdr:colOff>2505075</xdr:colOff>
      <xdr:row>26</xdr:row>
      <xdr:rowOff>142875</xdr:rowOff>
    </xdr:to>
    <xdr:sp fLocksText="0">
      <xdr:nvSpPr>
        <xdr:cNvPr id="3" name="Text Box 7"/>
        <xdr:cNvSpPr txBox="1">
          <a:spLocks noChangeArrowheads="1"/>
        </xdr:cNvSpPr>
      </xdr:nvSpPr>
      <xdr:spPr>
        <a:xfrm>
          <a:off x="0" y="7981950"/>
          <a:ext cx="5657850"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oneCell">
    <xdr:from>
      <xdr:col>0</xdr:col>
      <xdr:colOff>0</xdr:colOff>
      <xdr:row>0</xdr:row>
      <xdr:rowOff>0</xdr:rowOff>
    </xdr:from>
    <xdr:to>
      <xdr:col>3</xdr:col>
      <xdr:colOff>438150</xdr:colOff>
      <xdr:row>3</xdr:row>
      <xdr:rowOff>9525</xdr:rowOff>
    </xdr:to>
    <xdr:pic>
      <xdr:nvPicPr>
        <xdr:cNvPr id="4" name="Grafik 1"/>
        <xdr:cNvPicPr preferRelativeResize="1">
          <a:picLocks noChangeAspect="1"/>
        </xdr:cNvPicPr>
      </xdr:nvPicPr>
      <xdr:blipFill>
        <a:blip r:embed="rId1"/>
        <a:stretch>
          <a:fillRect/>
        </a:stretch>
      </xdr:blipFill>
      <xdr:spPr>
        <a:xfrm>
          <a:off x="0" y="0"/>
          <a:ext cx="359092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0</xdr:rowOff>
    </xdr:from>
    <xdr:to>
      <xdr:col>9</xdr:col>
      <xdr:colOff>428625</xdr:colOff>
      <xdr:row>1</xdr:row>
      <xdr:rowOff>76200</xdr:rowOff>
    </xdr:to>
    <xdr:pic>
      <xdr:nvPicPr>
        <xdr:cNvPr id="1" name="Grafik 1"/>
        <xdr:cNvPicPr preferRelativeResize="1">
          <a:picLocks noChangeAspect="1"/>
        </xdr:cNvPicPr>
      </xdr:nvPicPr>
      <xdr:blipFill>
        <a:blip r:embed="rId1"/>
        <a:stretch>
          <a:fillRect/>
        </a:stretch>
      </xdr:blipFill>
      <xdr:spPr>
        <a:xfrm>
          <a:off x="3914775" y="0"/>
          <a:ext cx="2514600" cy="371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47625</xdr:rowOff>
    </xdr:from>
    <xdr:to>
      <xdr:col>8</xdr:col>
      <xdr:colOff>38100</xdr:colOff>
      <xdr:row>1</xdr:row>
      <xdr:rowOff>114300</xdr:rowOff>
    </xdr:to>
    <xdr:pic>
      <xdr:nvPicPr>
        <xdr:cNvPr id="1" name="Grafik 1"/>
        <xdr:cNvPicPr preferRelativeResize="1">
          <a:picLocks noChangeAspect="1"/>
        </xdr:cNvPicPr>
      </xdr:nvPicPr>
      <xdr:blipFill>
        <a:blip r:embed="rId1"/>
        <a:stretch>
          <a:fillRect/>
        </a:stretch>
      </xdr:blipFill>
      <xdr:spPr>
        <a:xfrm>
          <a:off x="3876675" y="47625"/>
          <a:ext cx="2438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3</xdr:col>
      <xdr:colOff>28575</xdr:colOff>
      <xdr:row>3</xdr:row>
      <xdr:rowOff>76200</xdr:rowOff>
    </xdr:to>
    <xdr:pic>
      <xdr:nvPicPr>
        <xdr:cNvPr id="1" name="Grafik 1"/>
        <xdr:cNvPicPr preferRelativeResize="1">
          <a:picLocks noChangeAspect="1"/>
        </xdr:cNvPicPr>
      </xdr:nvPicPr>
      <xdr:blipFill>
        <a:blip r:embed="rId1"/>
        <a:stretch>
          <a:fillRect/>
        </a:stretch>
      </xdr:blipFill>
      <xdr:spPr>
        <a:xfrm>
          <a:off x="0" y="142875"/>
          <a:ext cx="31813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0</xdr:row>
      <xdr:rowOff>19050</xdr:rowOff>
    </xdr:from>
    <xdr:to>
      <xdr:col>8</xdr:col>
      <xdr:colOff>695325</xdr:colOff>
      <xdr:row>1</xdr:row>
      <xdr:rowOff>142875</xdr:rowOff>
    </xdr:to>
    <xdr:pic>
      <xdr:nvPicPr>
        <xdr:cNvPr id="1" name="Grafik 1"/>
        <xdr:cNvPicPr preferRelativeResize="1">
          <a:picLocks noChangeAspect="1"/>
        </xdr:cNvPicPr>
      </xdr:nvPicPr>
      <xdr:blipFill>
        <a:blip r:embed="rId1"/>
        <a:stretch>
          <a:fillRect/>
        </a:stretch>
      </xdr:blipFill>
      <xdr:spPr>
        <a:xfrm>
          <a:off x="3819525" y="19050"/>
          <a:ext cx="27622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19050</xdr:rowOff>
    </xdr:from>
    <xdr:to>
      <xdr:col>7</xdr:col>
      <xdr:colOff>638175</xdr:colOff>
      <xdr:row>1</xdr:row>
      <xdr:rowOff>114300</xdr:rowOff>
    </xdr:to>
    <xdr:pic>
      <xdr:nvPicPr>
        <xdr:cNvPr id="1" name="Grafik 1"/>
        <xdr:cNvPicPr preferRelativeResize="1">
          <a:picLocks noChangeAspect="1"/>
        </xdr:cNvPicPr>
      </xdr:nvPicPr>
      <xdr:blipFill>
        <a:blip r:embed="rId1"/>
        <a:stretch>
          <a:fillRect/>
        </a:stretch>
      </xdr:blipFill>
      <xdr:spPr>
        <a:xfrm>
          <a:off x="3819525" y="19050"/>
          <a:ext cx="25622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9525</xdr:rowOff>
    </xdr:from>
    <xdr:to>
      <xdr:col>13</xdr:col>
      <xdr:colOff>600075</xdr:colOff>
      <xdr:row>1</xdr:row>
      <xdr:rowOff>114300</xdr:rowOff>
    </xdr:to>
    <xdr:pic>
      <xdr:nvPicPr>
        <xdr:cNvPr id="1" name="Grafik 1"/>
        <xdr:cNvPicPr preferRelativeResize="1">
          <a:picLocks noChangeAspect="1"/>
        </xdr:cNvPicPr>
      </xdr:nvPicPr>
      <xdr:blipFill>
        <a:blip r:embed="rId1"/>
        <a:stretch>
          <a:fillRect/>
        </a:stretch>
      </xdr:blipFill>
      <xdr:spPr>
        <a:xfrm>
          <a:off x="3657600" y="9525"/>
          <a:ext cx="26384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857250</xdr:colOff>
      <xdr:row>0</xdr:row>
      <xdr:rowOff>57150</xdr:rowOff>
    </xdr:from>
    <xdr:to>
      <xdr:col>7</xdr:col>
      <xdr:colOff>142875</xdr:colOff>
      <xdr:row>1</xdr:row>
      <xdr:rowOff>200025</xdr:rowOff>
    </xdr:to>
    <xdr:pic>
      <xdr:nvPicPr>
        <xdr:cNvPr id="1" name="Grafik 1"/>
        <xdr:cNvPicPr preferRelativeResize="1">
          <a:picLocks noChangeAspect="1"/>
        </xdr:cNvPicPr>
      </xdr:nvPicPr>
      <xdr:blipFill>
        <a:blip r:embed="rId1"/>
        <a:stretch>
          <a:fillRect/>
        </a:stretch>
      </xdr:blipFill>
      <xdr:spPr>
        <a:xfrm>
          <a:off x="4238625" y="57150"/>
          <a:ext cx="291465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51</xdr:row>
      <xdr:rowOff>57150</xdr:rowOff>
    </xdr:from>
    <xdr:to>
      <xdr:col>7</xdr:col>
      <xdr:colOff>200025</xdr:colOff>
      <xdr:row>68</xdr:row>
      <xdr:rowOff>76200</xdr:rowOff>
    </xdr:to>
    <xdr:sp>
      <xdr:nvSpPr>
        <xdr:cNvPr id="1" name="AutoShape 13"/>
        <xdr:cNvSpPr>
          <a:spLocks/>
        </xdr:cNvSpPr>
      </xdr:nvSpPr>
      <xdr:spPr>
        <a:xfrm rot="620421">
          <a:off x="3933825" y="10610850"/>
          <a:ext cx="304800" cy="2800350"/>
        </a:xfrm>
        <a:prstGeom prst="downArrow">
          <a:avLst>
            <a:gd name="adj1" fmla="val 23388"/>
            <a:gd name="adj2" fmla="val -17439"/>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69</xdr:row>
      <xdr:rowOff>0</xdr:rowOff>
    </xdr:from>
    <xdr:to>
      <xdr:col>7</xdr:col>
      <xdr:colOff>0</xdr:colOff>
      <xdr:row>69</xdr:row>
      <xdr:rowOff>123825</xdr:rowOff>
    </xdr:to>
    <xdr:sp>
      <xdr:nvSpPr>
        <xdr:cNvPr id="2" name="Rectangle 14"/>
        <xdr:cNvSpPr>
          <a:spLocks/>
        </xdr:cNvSpPr>
      </xdr:nvSpPr>
      <xdr:spPr>
        <a:xfrm>
          <a:off x="3943350" y="1350645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6</xdr:col>
      <xdr:colOff>219075</xdr:colOff>
      <xdr:row>71</xdr:row>
      <xdr:rowOff>19050</xdr:rowOff>
    </xdr:from>
    <xdr:to>
      <xdr:col>7</xdr:col>
      <xdr:colOff>0</xdr:colOff>
      <xdr:row>71</xdr:row>
      <xdr:rowOff>142875</xdr:rowOff>
    </xdr:to>
    <xdr:sp>
      <xdr:nvSpPr>
        <xdr:cNvPr id="3" name="Rectangle 15"/>
        <xdr:cNvSpPr>
          <a:spLocks/>
        </xdr:cNvSpPr>
      </xdr:nvSpPr>
      <xdr:spPr>
        <a:xfrm>
          <a:off x="3943350" y="13868400"/>
          <a:ext cx="9525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6</xdr:col>
      <xdr:colOff>114300</xdr:colOff>
      <xdr:row>0</xdr:row>
      <xdr:rowOff>0</xdr:rowOff>
    </xdr:from>
    <xdr:to>
      <xdr:col>12</xdr:col>
      <xdr:colOff>781050</xdr:colOff>
      <xdr:row>1</xdr:row>
      <xdr:rowOff>133350</xdr:rowOff>
    </xdr:to>
    <xdr:pic>
      <xdr:nvPicPr>
        <xdr:cNvPr id="4" name="Grafik 1"/>
        <xdr:cNvPicPr preferRelativeResize="1">
          <a:picLocks noChangeAspect="1"/>
        </xdr:cNvPicPr>
      </xdr:nvPicPr>
      <xdr:blipFill>
        <a:blip r:embed="rId1"/>
        <a:stretch>
          <a:fillRect/>
        </a:stretch>
      </xdr:blipFill>
      <xdr:spPr>
        <a:xfrm>
          <a:off x="3838575" y="0"/>
          <a:ext cx="2743200" cy="428625"/>
        </a:xfrm>
        <a:prstGeom prst="rect">
          <a:avLst/>
        </a:prstGeom>
        <a:noFill/>
        <a:ln w="9525" cmpd="sng">
          <a:noFill/>
        </a:ln>
      </xdr:spPr>
    </xdr:pic>
    <xdr:clientData/>
  </xdr:twoCellAnchor>
  <xdr:twoCellAnchor editAs="oneCell">
    <xdr:from>
      <xdr:col>0</xdr:col>
      <xdr:colOff>19050</xdr:colOff>
      <xdr:row>55</xdr:row>
      <xdr:rowOff>9525</xdr:rowOff>
    </xdr:from>
    <xdr:to>
      <xdr:col>4</xdr:col>
      <xdr:colOff>285750</xdr:colOff>
      <xdr:row>62</xdr:row>
      <xdr:rowOff>0</xdr:rowOff>
    </xdr:to>
    <xdr:pic>
      <xdr:nvPicPr>
        <xdr:cNvPr id="5" name="Grafik 1"/>
        <xdr:cNvPicPr preferRelativeResize="1">
          <a:picLocks noChangeAspect="1"/>
        </xdr:cNvPicPr>
      </xdr:nvPicPr>
      <xdr:blipFill>
        <a:blip r:embed="rId2"/>
        <a:stretch>
          <a:fillRect/>
        </a:stretch>
      </xdr:blipFill>
      <xdr:spPr>
        <a:xfrm>
          <a:off x="19050" y="11210925"/>
          <a:ext cx="3295650" cy="1152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xdr:row>
      <xdr:rowOff>123825</xdr:rowOff>
    </xdr:from>
    <xdr:to>
      <xdr:col>11</xdr:col>
      <xdr:colOff>942975</xdr:colOff>
      <xdr:row>2</xdr:row>
      <xdr:rowOff>352425</xdr:rowOff>
    </xdr:to>
    <xdr:pic>
      <xdr:nvPicPr>
        <xdr:cNvPr id="1" name="Grafik 1"/>
        <xdr:cNvPicPr preferRelativeResize="1">
          <a:picLocks noChangeAspect="1"/>
        </xdr:cNvPicPr>
      </xdr:nvPicPr>
      <xdr:blipFill>
        <a:blip r:embed="rId1"/>
        <a:stretch>
          <a:fillRect/>
        </a:stretch>
      </xdr:blipFill>
      <xdr:spPr>
        <a:xfrm>
          <a:off x="3286125" y="419100"/>
          <a:ext cx="25812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1.x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6">
    <tabColor indexed="22"/>
    <pageSetUpPr fitToPage="1"/>
  </sheetPr>
  <dimension ref="A1:M66"/>
  <sheetViews>
    <sheetView showGridLines="0" tabSelected="1" workbookViewId="0" topLeftCell="A1">
      <selection activeCell="B12" sqref="B12"/>
    </sheetView>
  </sheetViews>
  <sheetFormatPr defaultColWidth="11.421875" defaultRowHeight="12.75"/>
  <cols>
    <col min="1" max="1" width="6.421875" style="51" customWidth="1"/>
    <col min="2" max="2" width="114.421875" style="51" customWidth="1"/>
    <col min="3" max="3" width="11.421875" style="51" customWidth="1"/>
    <col min="4" max="4" width="15.140625" style="51" customWidth="1"/>
    <col min="5" max="5" width="15.28125" style="51" hidden="1" customWidth="1"/>
    <col min="6" max="6" width="5.140625" style="51" customWidth="1"/>
    <col min="7" max="7" width="7.00390625" style="51" customWidth="1"/>
    <col min="8" max="8" width="2.57421875" style="51" customWidth="1"/>
    <col min="9" max="9" width="8.421875" style="51" customWidth="1"/>
    <col min="10" max="10" width="12.57421875" style="51" customWidth="1"/>
    <col min="11" max="12" width="11.421875" style="51" customWidth="1"/>
    <col min="13" max="13" width="29.7109375" style="51" customWidth="1"/>
    <col min="14" max="16384" width="11.421875" style="51" customWidth="1"/>
  </cols>
  <sheetData>
    <row r="1" ht="15">
      <c r="B1" s="675"/>
    </row>
    <row r="2" ht="12.75"/>
    <row r="3" spans="2:6" ht="17.25" customHeight="1">
      <c r="B3" s="676"/>
      <c r="F3" s="109"/>
    </row>
    <row r="4" ht="19.5" customHeight="1" thickBot="1">
      <c r="B4" s="677"/>
    </row>
    <row r="5" ht="32.25" customHeight="1" thickBot="1">
      <c r="B5" s="693" t="s">
        <v>458</v>
      </c>
    </row>
    <row r="6" ht="22.5" customHeight="1" thickBot="1"/>
    <row r="7" ht="21" customHeight="1">
      <c r="B7" s="782" t="s">
        <v>525</v>
      </c>
    </row>
    <row r="8" ht="18.75" customHeight="1">
      <c r="B8" s="783" t="s">
        <v>508</v>
      </c>
    </row>
    <row r="9" spans="2:5" ht="18.75" customHeight="1" hidden="1">
      <c r="B9" s="783" t="s">
        <v>507</v>
      </c>
      <c r="E9" s="51" t="s">
        <v>523</v>
      </c>
    </row>
    <row r="10" ht="18.75" customHeight="1">
      <c r="B10" s="783" t="s">
        <v>506</v>
      </c>
    </row>
    <row r="11" ht="18.75" customHeight="1" thickBot="1">
      <c r="B11" s="784" t="s">
        <v>505</v>
      </c>
    </row>
    <row r="12" ht="23.25" customHeight="1">
      <c r="B12" s="771"/>
    </row>
    <row r="13" ht="18">
      <c r="B13" s="689" t="s">
        <v>466</v>
      </c>
    </row>
    <row r="14" spans="1:2" ht="12.75" customHeight="1">
      <c r="A14" s="580"/>
      <c r="B14" s="879" t="s">
        <v>542</v>
      </c>
    </row>
    <row r="15" ht="115.5" customHeight="1">
      <c r="B15" s="879"/>
    </row>
    <row r="16" ht="19.5" customHeight="1">
      <c r="B16" s="680"/>
    </row>
    <row r="17" ht="18">
      <c r="B17" s="689" t="s">
        <v>385</v>
      </c>
    </row>
    <row r="18" spans="2:9" ht="21" customHeight="1">
      <c r="B18" s="772" t="s">
        <v>496</v>
      </c>
      <c r="D18" s="111"/>
      <c r="I18" s="112"/>
    </row>
    <row r="19" spans="2:9" ht="15" customHeight="1">
      <c r="B19" s="772" t="s">
        <v>452</v>
      </c>
      <c r="D19" s="111"/>
      <c r="I19" s="112"/>
    </row>
    <row r="20" spans="4:9" ht="22.5" customHeight="1">
      <c r="D20" s="111"/>
      <c r="I20" s="112"/>
    </row>
    <row r="21" spans="2:9" ht="18">
      <c r="B21" s="689" t="s">
        <v>398</v>
      </c>
      <c r="D21" s="111"/>
      <c r="I21" s="112"/>
    </row>
    <row r="22" ht="16.5" customHeight="1">
      <c r="B22" s="773" t="s">
        <v>363</v>
      </c>
    </row>
    <row r="23" ht="18">
      <c r="B23" s="773" t="s">
        <v>497</v>
      </c>
    </row>
    <row r="24" ht="15">
      <c r="B24" s="773" t="s">
        <v>498</v>
      </c>
    </row>
    <row r="25" ht="15">
      <c r="B25" s="773" t="s">
        <v>439</v>
      </c>
    </row>
    <row r="26" ht="15">
      <c r="B26" s="773" t="s">
        <v>445</v>
      </c>
    </row>
    <row r="27" ht="12.75">
      <c r="B27" s="774" t="s">
        <v>483</v>
      </c>
    </row>
    <row r="28" ht="11.25" customHeight="1">
      <c r="B28" s="680"/>
    </row>
    <row r="29" ht="15">
      <c r="B29" s="681" t="s">
        <v>346</v>
      </c>
    </row>
    <row r="30" ht="15">
      <c r="B30" s="678" t="s">
        <v>446</v>
      </c>
    </row>
    <row r="31" spans="2:13" ht="15">
      <c r="B31" s="678" t="s">
        <v>352</v>
      </c>
      <c r="L31" s="114"/>
      <c r="M31" s="114"/>
    </row>
    <row r="32" spans="2:13" ht="15.75">
      <c r="B32" s="678" t="s">
        <v>353</v>
      </c>
      <c r="L32" s="114"/>
      <c r="M32" s="114"/>
    </row>
    <row r="33" spans="12:13" ht="9" customHeight="1">
      <c r="L33" s="114"/>
      <c r="M33" s="114"/>
    </row>
    <row r="34" ht="34.5" customHeight="1">
      <c r="B34" s="682" t="s">
        <v>453</v>
      </c>
    </row>
    <row r="35" ht="28.5">
      <c r="B35" s="692" t="s">
        <v>484</v>
      </c>
    </row>
    <row r="36" ht="18.75" customHeight="1">
      <c r="B36" s="678"/>
    </row>
    <row r="37" ht="25.5" customHeight="1">
      <c r="B37" s="690" t="s">
        <v>501</v>
      </c>
    </row>
    <row r="38" spans="1:4" s="787" customFormat="1" ht="34.5" customHeight="1">
      <c r="A38" s="580"/>
      <c r="B38" s="785"/>
      <c r="C38" s="786"/>
      <c r="D38" s="786"/>
    </row>
    <row r="39" spans="2:4" ht="18">
      <c r="B39" s="775" t="s">
        <v>454</v>
      </c>
      <c r="C39" s="113"/>
      <c r="D39" s="113"/>
    </row>
    <row r="40" spans="2:4" ht="18">
      <c r="B40" s="679"/>
      <c r="C40" s="113"/>
      <c r="D40" s="113"/>
    </row>
    <row r="41" spans="2:10" ht="74.25" customHeight="1">
      <c r="B41" s="683" t="s">
        <v>487</v>
      </c>
      <c r="E41" s="113"/>
      <c r="F41" s="113"/>
      <c r="G41" s="113"/>
      <c r="H41" s="113"/>
      <c r="I41" s="113"/>
      <c r="J41" s="113"/>
    </row>
    <row r="42" spans="2:10" ht="79.5" customHeight="1">
      <c r="B42" s="683" t="s">
        <v>512</v>
      </c>
      <c r="E42" s="113"/>
      <c r="F42" s="113"/>
      <c r="G42" s="113"/>
      <c r="H42" s="113"/>
      <c r="I42" s="113"/>
      <c r="J42" s="113"/>
    </row>
    <row r="43" ht="8.25" customHeight="1">
      <c r="B43" s="110"/>
    </row>
    <row r="44" s="580" customFormat="1" ht="22.5" customHeight="1">
      <c r="B44" s="675" t="s">
        <v>351</v>
      </c>
    </row>
    <row r="45" s="580" customFormat="1" ht="21.75" customHeight="1">
      <c r="B45" s="684"/>
    </row>
    <row r="46" spans="1:2" s="580" customFormat="1" ht="14.25">
      <c r="A46" s="685" t="s">
        <v>6</v>
      </c>
      <c r="B46" s="686" t="s">
        <v>354</v>
      </c>
    </row>
    <row r="47" spans="1:2" s="580" customFormat="1" ht="15">
      <c r="A47" s="685"/>
      <c r="B47" s="686" t="s">
        <v>502</v>
      </c>
    </row>
    <row r="48" spans="1:2" s="580" customFormat="1" ht="14.25">
      <c r="A48" s="685"/>
      <c r="B48" s="686"/>
    </row>
    <row r="49" spans="1:2" s="580" customFormat="1" ht="14.25">
      <c r="A49" s="685" t="s">
        <v>6</v>
      </c>
      <c r="B49" s="686" t="s">
        <v>355</v>
      </c>
    </row>
    <row r="50" s="580" customFormat="1" ht="14.25">
      <c r="B50" s="686" t="s">
        <v>463</v>
      </c>
    </row>
    <row r="51" s="580" customFormat="1" ht="14.25">
      <c r="B51" s="686" t="s">
        <v>464</v>
      </c>
    </row>
    <row r="52" spans="1:2" s="580" customFormat="1" ht="14.25">
      <c r="A52" s="685"/>
      <c r="B52" s="686"/>
    </row>
    <row r="53" spans="1:2" s="580" customFormat="1" ht="14.25">
      <c r="A53" s="685" t="s">
        <v>6</v>
      </c>
      <c r="B53" s="686" t="s">
        <v>440</v>
      </c>
    </row>
    <row r="54" s="580" customFormat="1" ht="14.25">
      <c r="B54" s="686" t="s">
        <v>437</v>
      </c>
    </row>
    <row r="55" s="580" customFormat="1" ht="14.25">
      <c r="B55" s="686"/>
    </row>
    <row r="56" spans="1:2" s="580" customFormat="1" ht="14.25">
      <c r="A56" s="685" t="s">
        <v>6</v>
      </c>
      <c r="B56" s="686" t="s">
        <v>400</v>
      </c>
    </row>
    <row r="57" s="580" customFormat="1" ht="14.25">
      <c r="B57" s="686" t="s">
        <v>401</v>
      </c>
    </row>
    <row r="58" s="580" customFormat="1" ht="14.25">
      <c r="B58" s="686"/>
    </row>
    <row r="59" spans="1:2" s="580" customFormat="1" ht="15">
      <c r="A59" s="685" t="s">
        <v>6</v>
      </c>
      <c r="B59" s="686" t="s">
        <v>467</v>
      </c>
    </row>
    <row r="60" s="580" customFormat="1" ht="14.25">
      <c r="B60" s="686" t="s">
        <v>465</v>
      </c>
    </row>
    <row r="61" s="580" customFormat="1" ht="14.25">
      <c r="B61" s="686"/>
    </row>
    <row r="62" spans="1:2" s="580" customFormat="1" ht="14.25">
      <c r="A62" s="685" t="s">
        <v>6</v>
      </c>
      <c r="B62" s="686" t="s">
        <v>356</v>
      </c>
    </row>
    <row r="63" s="580" customFormat="1" ht="14.25">
      <c r="B63" s="686" t="s">
        <v>438</v>
      </c>
    </row>
    <row r="64" s="115" customFormat="1" ht="17.25" customHeight="1">
      <c r="B64" s="687"/>
    </row>
    <row r="65" ht="23.25">
      <c r="B65" s="822" t="s">
        <v>459</v>
      </c>
    </row>
    <row r="66" ht="15.75">
      <c r="B66" s="688"/>
    </row>
  </sheetData>
  <sheetProtection sheet="1"/>
  <mergeCells count="1">
    <mergeCell ref="B14:B15"/>
  </mergeCells>
  <printOptions/>
  <pageMargins left="0.5905511811023623" right="0.1968503937007874" top="0.4724409448818898" bottom="0.3937007874015748" header="0.5511811023622047" footer="0.31496062992125984"/>
  <pageSetup blackAndWhite="1" fitToHeight="1" fitToWidth="1" horizontalDpi="600" verticalDpi="600" orientation="portrait" paperSize="9" scale="59" r:id="rId2"/>
  <headerFooter alignWithMargins="0">
    <oddFooter>&amp;C(C) Lerch Treuhand AG, Itingen
</oddFooter>
  </headerFooter>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Tabelle8">
    <tabColor indexed="10"/>
  </sheetPr>
  <dimension ref="A1:Q75"/>
  <sheetViews>
    <sheetView showGridLines="0" showZeros="0" zoomScale="90" zoomScaleNormal="90" zoomScalePageLayoutView="0" workbookViewId="0" topLeftCell="A1">
      <selection activeCell="L16" sqref="L16"/>
    </sheetView>
  </sheetViews>
  <sheetFormatPr defaultColWidth="11.421875" defaultRowHeight="12.75"/>
  <cols>
    <col min="1" max="1" width="21.140625" style="0" customWidth="1"/>
    <col min="2" max="2" width="9.421875" style="0" customWidth="1"/>
    <col min="3" max="3" width="7.140625" style="0" customWidth="1"/>
    <col min="4" max="4" width="7.7109375" style="0" customWidth="1"/>
    <col min="5" max="5" width="7.140625" style="0" customWidth="1"/>
    <col min="6" max="6" width="3.28125" style="0" customWidth="1"/>
    <col min="7" max="7" width="4.7109375" style="0" customWidth="1"/>
    <col min="8" max="8" width="4.57421875" style="0" customWidth="1"/>
    <col min="9" max="9" width="2.8515625" style="0" customWidth="1"/>
    <col min="10" max="10" width="6.140625" style="0" customWidth="1"/>
    <col min="11" max="11" width="5.421875" style="0" customWidth="1"/>
    <col min="12" max="12" width="7.421875" style="0" customWidth="1"/>
    <col min="13" max="13" width="12.28125" style="0" customWidth="1"/>
    <col min="15" max="15" width="23.57421875" style="0" customWidth="1"/>
    <col min="16" max="16" width="14.28125" style="0" customWidth="1"/>
    <col min="17" max="17" width="12.57421875" style="0" customWidth="1"/>
  </cols>
  <sheetData>
    <row r="1" ht="23.25">
      <c r="A1" s="790">
        <f>DECKBLATT!B14</f>
        <v>0</v>
      </c>
    </row>
    <row r="2" spans="2:8" ht="16.5" customHeight="1">
      <c r="B2" s="221"/>
      <c r="C2" s="221"/>
      <c r="D2" s="221"/>
      <c r="E2" s="221"/>
      <c r="F2" s="221"/>
      <c r="G2" s="221"/>
      <c r="H2" s="87"/>
    </row>
    <row r="3" spans="1:13" ht="27.75" customHeight="1" thickBot="1">
      <c r="A3" s="777"/>
      <c r="B3" s="777"/>
      <c r="I3" s="27"/>
      <c r="K3" s="943">
        <f>DECKBLATT!B11</f>
        <v>43830</v>
      </c>
      <c r="L3" s="943"/>
      <c r="M3" s="943"/>
    </row>
    <row r="4" spans="1:13" ht="16.5" customHeight="1">
      <c r="A4" s="1057" t="s">
        <v>39</v>
      </c>
      <c r="B4" s="1058"/>
      <c r="C4" s="1065" t="s">
        <v>76</v>
      </c>
      <c r="D4" s="1063" t="s">
        <v>40</v>
      </c>
      <c r="E4" s="1063" t="s">
        <v>41</v>
      </c>
      <c r="F4" s="1069" t="s">
        <v>308</v>
      </c>
      <c r="G4" s="1070"/>
      <c r="H4" s="1027" t="s">
        <v>293</v>
      </c>
      <c r="I4" s="1079" t="s">
        <v>77</v>
      </c>
      <c r="J4" s="1080"/>
      <c r="K4" s="1075" t="s">
        <v>79</v>
      </c>
      <c r="L4" s="1076"/>
      <c r="M4" s="1073" t="s">
        <v>78</v>
      </c>
    </row>
    <row r="5" spans="1:13" ht="13.5" thickBot="1">
      <c r="A5" s="1059"/>
      <c r="B5" s="1060"/>
      <c r="C5" s="1066"/>
      <c r="D5" s="1064"/>
      <c r="E5" s="1064"/>
      <c r="F5" s="1071"/>
      <c r="G5" s="1072"/>
      <c r="H5" s="1028"/>
      <c r="I5" s="1081"/>
      <c r="J5" s="1082"/>
      <c r="K5" s="1077"/>
      <c r="L5" s="1078"/>
      <c r="M5" s="1074"/>
    </row>
    <row r="6" spans="1:13" ht="16.5" customHeight="1">
      <c r="A6" s="778" t="s">
        <v>53</v>
      </c>
      <c r="B6" s="779" t="s">
        <v>52</v>
      </c>
      <c r="C6" s="263"/>
      <c r="D6" s="263"/>
      <c r="E6" s="264"/>
      <c r="F6" s="1067"/>
      <c r="G6" s="1068"/>
      <c r="H6" s="271"/>
      <c r="I6" s="1083"/>
      <c r="J6" s="1083"/>
      <c r="K6" s="272" t="s">
        <v>42</v>
      </c>
      <c r="L6" s="273">
        <v>350</v>
      </c>
      <c r="M6" s="698">
        <f>F6*L6</f>
        <v>0</v>
      </c>
    </row>
    <row r="7" spans="1:13" ht="16.5" customHeight="1">
      <c r="A7" s="377" t="s">
        <v>54</v>
      </c>
      <c r="B7" s="265" t="s">
        <v>52</v>
      </c>
      <c r="C7" s="266"/>
      <c r="D7" s="266"/>
      <c r="E7" s="267"/>
      <c r="F7" s="982"/>
      <c r="G7" s="983"/>
      <c r="H7" s="274"/>
      <c r="I7" s="1026"/>
      <c r="J7" s="1026"/>
      <c r="K7" s="275" t="s">
        <v>42</v>
      </c>
      <c r="L7" s="276">
        <v>350</v>
      </c>
      <c r="M7" s="699">
        <f aca="true" t="shared" si="0" ref="M7:M16">F7*L7</f>
        <v>0</v>
      </c>
    </row>
    <row r="8" spans="1:13" ht="16.5" customHeight="1">
      <c r="A8" s="377" t="s">
        <v>55</v>
      </c>
      <c r="B8" s="265" t="s">
        <v>52</v>
      </c>
      <c r="C8" s="266"/>
      <c r="D8" s="266"/>
      <c r="E8" s="267"/>
      <c r="F8" s="982"/>
      <c r="G8" s="983"/>
      <c r="H8" s="274"/>
      <c r="I8" s="1026"/>
      <c r="J8" s="1026"/>
      <c r="K8" s="275" t="s">
        <v>42</v>
      </c>
      <c r="L8" s="276">
        <v>250</v>
      </c>
      <c r="M8" s="699">
        <f t="shared" si="0"/>
        <v>0</v>
      </c>
    </row>
    <row r="9" spans="1:13" ht="16.5" customHeight="1">
      <c r="A9" s="377" t="s">
        <v>56</v>
      </c>
      <c r="B9" s="265" t="s">
        <v>52</v>
      </c>
      <c r="C9" s="266"/>
      <c r="D9" s="266"/>
      <c r="E9" s="267"/>
      <c r="F9" s="982"/>
      <c r="G9" s="983"/>
      <c r="H9" s="274"/>
      <c r="I9" s="1026"/>
      <c r="J9" s="1026"/>
      <c r="K9" s="275" t="s">
        <v>42</v>
      </c>
      <c r="L9" s="276">
        <v>250</v>
      </c>
      <c r="M9" s="699">
        <f t="shared" si="0"/>
        <v>0</v>
      </c>
    </row>
    <row r="10" spans="1:13" ht="16.5" customHeight="1">
      <c r="A10" s="377" t="s">
        <v>57</v>
      </c>
      <c r="B10" s="265" t="s">
        <v>52</v>
      </c>
      <c r="C10" s="266"/>
      <c r="D10" s="266"/>
      <c r="E10" s="267"/>
      <c r="F10" s="982"/>
      <c r="G10" s="983"/>
      <c r="H10" s="274"/>
      <c r="I10" s="1026"/>
      <c r="J10" s="1026"/>
      <c r="K10" s="275" t="s">
        <v>42</v>
      </c>
      <c r="L10" s="276">
        <v>10</v>
      </c>
      <c r="M10" s="699">
        <f t="shared" si="0"/>
        <v>0</v>
      </c>
    </row>
    <row r="11" spans="1:13" ht="16.5" customHeight="1">
      <c r="A11" s="377" t="s">
        <v>58</v>
      </c>
      <c r="B11" s="265" t="s">
        <v>52</v>
      </c>
      <c r="C11" s="266"/>
      <c r="D11" s="266"/>
      <c r="E11" s="267"/>
      <c r="F11" s="982"/>
      <c r="G11" s="983"/>
      <c r="H11" s="274"/>
      <c r="I11" s="1026"/>
      <c r="J11" s="1026"/>
      <c r="K11" s="275" t="s">
        <v>42</v>
      </c>
      <c r="L11" s="276">
        <v>20</v>
      </c>
      <c r="M11" s="699">
        <f t="shared" si="0"/>
        <v>0</v>
      </c>
    </row>
    <row r="12" spans="1:13" ht="16.5" customHeight="1">
      <c r="A12" s="377" t="s">
        <v>59</v>
      </c>
      <c r="B12" s="265" t="s">
        <v>52</v>
      </c>
      <c r="C12" s="266"/>
      <c r="D12" s="266"/>
      <c r="E12" s="267"/>
      <c r="F12" s="982"/>
      <c r="G12" s="983"/>
      <c r="H12" s="274"/>
      <c r="I12" s="1026"/>
      <c r="J12" s="1026"/>
      <c r="K12" s="275" t="s">
        <v>42</v>
      </c>
      <c r="L12" s="276">
        <v>30</v>
      </c>
      <c r="M12" s="699">
        <f t="shared" si="0"/>
        <v>0</v>
      </c>
    </row>
    <row r="13" spans="1:13" ht="16.5" customHeight="1">
      <c r="A13" s="377" t="s">
        <v>60</v>
      </c>
      <c r="B13" s="265" t="s">
        <v>52</v>
      </c>
      <c r="C13" s="266"/>
      <c r="D13" s="266"/>
      <c r="E13" s="267"/>
      <c r="F13" s="982"/>
      <c r="G13" s="983"/>
      <c r="H13" s="274"/>
      <c r="I13" s="1026"/>
      <c r="J13" s="1026"/>
      <c r="K13" s="275" t="s">
        <v>42</v>
      </c>
      <c r="L13" s="276">
        <v>40</v>
      </c>
      <c r="M13" s="699">
        <f t="shared" si="0"/>
        <v>0</v>
      </c>
    </row>
    <row r="14" spans="1:13" ht="16.5" customHeight="1">
      <c r="A14" s="377" t="s">
        <v>61</v>
      </c>
      <c r="B14" s="265" t="s">
        <v>52</v>
      </c>
      <c r="C14" s="266"/>
      <c r="D14" s="266"/>
      <c r="E14" s="267"/>
      <c r="F14" s="982"/>
      <c r="G14" s="983"/>
      <c r="H14" s="274"/>
      <c r="I14" s="1026"/>
      <c r="J14" s="1026"/>
      <c r="K14" s="275" t="s">
        <v>42</v>
      </c>
      <c r="L14" s="276">
        <v>45</v>
      </c>
      <c r="M14" s="699">
        <f t="shared" si="0"/>
        <v>0</v>
      </c>
    </row>
    <row r="15" spans="1:13" ht="16.5" customHeight="1">
      <c r="A15" s="377" t="s">
        <v>62</v>
      </c>
      <c r="B15" s="265" t="s">
        <v>52</v>
      </c>
      <c r="C15" s="266"/>
      <c r="D15" s="266"/>
      <c r="E15" s="267"/>
      <c r="F15" s="982"/>
      <c r="G15" s="983"/>
      <c r="H15" s="274"/>
      <c r="I15" s="1026"/>
      <c r="J15" s="1026"/>
      <c r="K15" s="275" t="s">
        <v>42</v>
      </c>
      <c r="L15" s="276">
        <v>55</v>
      </c>
      <c r="M15" s="699">
        <f t="shared" si="0"/>
        <v>0</v>
      </c>
    </row>
    <row r="16" spans="1:13" ht="16.5" customHeight="1">
      <c r="A16" s="377" t="s">
        <v>63</v>
      </c>
      <c r="B16" s="265" t="s">
        <v>52</v>
      </c>
      <c r="C16" s="266"/>
      <c r="D16" s="266"/>
      <c r="E16" s="267"/>
      <c r="F16" s="982"/>
      <c r="G16" s="983"/>
      <c r="H16" s="274"/>
      <c r="I16" s="1026"/>
      <c r="J16" s="1026"/>
      <c r="K16" s="275" t="s">
        <v>42</v>
      </c>
      <c r="L16" s="276">
        <v>65</v>
      </c>
      <c r="M16" s="699">
        <f t="shared" si="0"/>
        <v>0</v>
      </c>
    </row>
    <row r="17" spans="1:13" ht="16.5" customHeight="1">
      <c r="A17" s="377" t="s">
        <v>276</v>
      </c>
      <c r="B17" s="265" t="s">
        <v>52</v>
      </c>
      <c r="C17" s="266"/>
      <c r="D17" s="266"/>
      <c r="E17" s="267"/>
      <c r="F17" s="982"/>
      <c r="G17" s="983"/>
      <c r="H17" s="277">
        <v>16</v>
      </c>
      <c r="I17" s="278" t="s">
        <v>24</v>
      </c>
      <c r="J17" s="279">
        <f aca="true" t="shared" si="1" ref="J17:J31">F17*H17</f>
        <v>0</v>
      </c>
      <c r="K17" s="275" t="s">
        <v>42</v>
      </c>
      <c r="L17" s="276">
        <v>4.45</v>
      </c>
      <c r="M17" s="699">
        <f>L17*J17</f>
        <v>0</v>
      </c>
    </row>
    <row r="18" spans="1:13" ht="16.5" customHeight="1">
      <c r="A18" s="377" t="s">
        <v>64</v>
      </c>
      <c r="B18" s="265" t="s">
        <v>52</v>
      </c>
      <c r="C18" s="266"/>
      <c r="D18" s="266"/>
      <c r="E18" s="267"/>
      <c r="F18" s="982"/>
      <c r="G18" s="983"/>
      <c r="H18" s="277">
        <v>18</v>
      </c>
      <c r="I18" s="278" t="s">
        <v>24</v>
      </c>
      <c r="J18" s="279">
        <f t="shared" si="1"/>
        <v>0</v>
      </c>
      <c r="K18" s="275" t="s">
        <v>42</v>
      </c>
      <c r="L18" s="276">
        <v>4.35</v>
      </c>
      <c r="M18" s="699">
        <f aca="true" t="shared" si="2" ref="M18:M31">L18*J18</f>
        <v>0</v>
      </c>
    </row>
    <row r="19" spans="1:13" ht="16.5" customHeight="1">
      <c r="A19" s="377" t="s">
        <v>65</v>
      </c>
      <c r="B19" s="265" t="s">
        <v>52</v>
      </c>
      <c r="C19" s="266"/>
      <c r="D19" s="266"/>
      <c r="E19" s="267"/>
      <c r="F19" s="982"/>
      <c r="G19" s="983"/>
      <c r="H19" s="277">
        <v>20</v>
      </c>
      <c r="I19" s="278" t="s">
        <v>24</v>
      </c>
      <c r="J19" s="279">
        <f t="shared" si="1"/>
        <v>0</v>
      </c>
      <c r="K19" s="275" t="s">
        <v>42</v>
      </c>
      <c r="L19" s="276">
        <v>4.25</v>
      </c>
      <c r="M19" s="699">
        <f t="shared" si="2"/>
        <v>0</v>
      </c>
    </row>
    <row r="20" spans="1:13" ht="16.5" customHeight="1">
      <c r="A20" s="377" t="s">
        <v>66</v>
      </c>
      <c r="B20" s="265" t="s">
        <v>52</v>
      </c>
      <c r="C20" s="266"/>
      <c r="D20" s="266"/>
      <c r="E20" s="267"/>
      <c r="F20" s="982"/>
      <c r="G20" s="983"/>
      <c r="H20" s="277">
        <v>25</v>
      </c>
      <c r="I20" s="278" t="s">
        <v>24</v>
      </c>
      <c r="J20" s="279">
        <f t="shared" si="1"/>
        <v>0</v>
      </c>
      <c r="K20" s="275" t="s">
        <v>42</v>
      </c>
      <c r="L20" s="276">
        <v>4.15</v>
      </c>
      <c r="M20" s="699">
        <f t="shared" si="2"/>
        <v>0</v>
      </c>
    </row>
    <row r="21" spans="1:13" ht="16.5" customHeight="1">
      <c r="A21" s="377" t="s">
        <v>67</v>
      </c>
      <c r="B21" s="265" t="s">
        <v>52</v>
      </c>
      <c r="C21" s="266"/>
      <c r="D21" s="266"/>
      <c r="E21" s="267"/>
      <c r="F21" s="982"/>
      <c r="G21" s="983"/>
      <c r="H21" s="277">
        <v>30</v>
      </c>
      <c r="I21" s="278" t="s">
        <v>24</v>
      </c>
      <c r="J21" s="279">
        <f t="shared" si="1"/>
        <v>0</v>
      </c>
      <c r="K21" s="275" t="s">
        <v>42</v>
      </c>
      <c r="L21" s="276">
        <v>4.1</v>
      </c>
      <c r="M21" s="699">
        <f t="shared" si="2"/>
        <v>0</v>
      </c>
    </row>
    <row r="22" spans="1:13" ht="16.5" customHeight="1">
      <c r="A22" s="377" t="s">
        <v>68</v>
      </c>
      <c r="B22" s="265" t="s">
        <v>52</v>
      </c>
      <c r="C22" s="266"/>
      <c r="D22" s="266"/>
      <c r="E22" s="267"/>
      <c r="F22" s="982"/>
      <c r="G22" s="983"/>
      <c r="H22" s="277">
        <v>35</v>
      </c>
      <c r="I22" s="278" t="s">
        <v>24</v>
      </c>
      <c r="J22" s="279">
        <f t="shared" si="1"/>
        <v>0</v>
      </c>
      <c r="K22" s="275" t="s">
        <v>42</v>
      </c>
      <c r="L22" s="276">
        <v>4</v>
      </c>
      <c r="M22" s="699">
        <f t="shared" si="2"/>
        <v>0</v>
      </c>
    </row>
    <row r="23" spans="1:13" ht="16.5" customHeight="1">
      <c r="A23" s="377" t="s">
        <v>69</v>
      </c>
      <c r="B23" s="265" t="s">
        <v>52</v>
      </c>
      <c r="C23" s="266"/>
      <c r="D23" s="266"/>
      <c r="E23" s="267"/>
      <c r="F23" s="982"/>
      <c r="G23" s="983"/>
      <c r="H23" s="277">
        <v>40</v>
      </c>
      <c r="I23" s="278" t="s">
        <v>24</v>
      </c>
      <c r="J23" s="279">
        <f t="shared" si="1"/>
        <v>0</v>
      </c>
      <c r="K23" s="275" t="s">
        <v>42</v>
      </c>
      <c r="L23" s="276">
        <v>3.95</v>
      </c>
      <c r="M23" s="699">
        <f t="shared" si="2"/>
        <v>0</v>
      </c>
    </row>
    <row r="24" spans="1:13" ht="16.5" customHeight="1">
      <c r="A24" s="377" t="s">
        <v>70</v>
      </c>
      <c r="B24" s="265" t="s">
        <v>52</v>
      </c>
      <c r="C24" s="266"/>
      <c r="D24" s="266"/>
      <c r="E24" s="267"/>
      <c r="F24" s="982"/>
      <c r="G24" s="983"/>
      <c r="H24" s="277">
        <v>50</v>
      </c>
      <c r="I24" s="278" t="s">
        <v>24</v>
      </c>
      <c r="J24" s="279">
        <f t="shared" si="1"/>
        <v>0</v>
      </c>
      <c r="K24" s="275" t="s">
        <v>42</v>
      </c>
      <c r="L24" s="276">
        <v>3.8</v>
      </c>
      <c r="M24" s="699">
        <f t="shared" si="2"/>
        <v>0</v>
      </c>
    </row>
    <row r="25" spans="1:13" ht="16.5" customHeight="1">
      <c r="A25" s="377" t="s">
        <v>71</v>
      </c>
      <c r="B25" s="265" t="s">
        <v>52</v>
      </c>
      <c r="C25" s="266"/>
      <c r="D25" s="266"/>
      <c r="E25" s="267"/>
      <c r="F25" s="982"/>
      <c r="G25" s="983"/>
      <c r="H25" s="277">
        <v>60</v>
      </c>
      <c r="I25" s="278" t="s">
        <v>24</v>
      </c>
      <c r="J25" s="279">
        <f t="shared" si="1"/>
        <v>0</v>
      </c>
      <c r="K25" s="275" t="s">
        <v>42</v>
      </c>
      <c r="L25" s="276">
        <v>3.65</v>
      </c>
      <c r="M25" s="699">
        <f t="shared" si="2"/>
        <v>0</v>
      </c>
    </row>
    <row r="26" spans="1:13" ht="16.5" customHeight="1">
      <c r="A26" s="377" t="s">
        <v>72</v>
      </c>
      <c r="B26" s="265" t="s">
        <v>52</v>
      </c>
      <c r="C26" s="266"/>
      <c r="D26" s="266"/>
      <c r="E26" s="267"/>
      <c r="F26" s="982"/>
      <c r="G26" s="983"/>
      <c r="H26" s="277">
        <v>70</v>
      </c>
      <c r="I26" s="278" t="s">
        <v>24</v>
      </c>
      <c r="J26" s="279">
        <f t="shared" si="1"/>
        <v>0</v>
      </c>
      <c r="K26" s="275" t="s">
        <v>42</v>
      </c>
      <c r="L26" s="276">
        <v>3.5</v>
      </c>
      <c r="M26" s="699">
        <f t="shared" si="2"/>
        <v>0</v>
      </c>
    </row>
    <row r="27" spans="1:13" ht="16.5" customHeight="1">
      <c r="A27" s="377" t="s">
        <v>73</v>
      </c>
      <c r="B27" s="265" t="s">
        <v>52</v>
      </c>
      <c r="C27" s="266"/>
      <c r="D27" s="266"/>
      <c r="E27" s="267"/>
      <c r="F27" s="982"/>
      <c r="G27" s="983"/>
      <c r="H27" s="277">
        <v>80</v>
      </c>
      <c r="I27" s="278" t="s">
        <v>24</v>
      </c>
      <c r="J27" s="279">
        <f t="shared" si="1"/>
        <v>0</v>
      </c>
      <c r="K27" s="275" t="s">
        <v>42</v>
      </c>
      <c r="L27" s="276">
        <v>3.35</v>
      </c>
      <c r="M27" s="699">
        <f t="shared" si="2"/>
        <v>0</v>
      </c>
    </row>
    <row r="28" spans="1:13" ht="16.5" customHeight="1">
      <c r="A28" s="377" t="s">
        <v>74</v>
      </c>
      <c r="B28" s="265" t="s">
        <v>52</v>
      </c>
      <c r="C28" s="266"/>
      <c r="D28" s="266"/>
      <c r="E28" s="267"/>
      <c r="F28" s="982"/>
      <c r="G28" s="983"/>
      <c r="H28" s="277">
        <v>90</v>
      </c>
      <c r="I28" s="278" t="s">
        <v>24</v>
      </c>
      <c r="J28" s="279">
        <f t="shared" si="1"/>
        <v>0</v>
      </c>
      <c r="K28" s="275" t="s">
        <v>42</v>
      </c>
      <c r="L28" s="276">
        <v>3.2</v>
      </c>
      <c r="M28" s="699">
        <f t="shared" si="2"/>
        <v>0</v>
      </c>
    </row>
    <row r="29" spans="1:13" ht="16.5" customHeight="1">
      <c r="A29" s="377" t="s">
        <v>75</v>
      </c>
      <c r="B29" s="265" t="s">
        <v>52</v>
      </c>
      <c r="C29" s="266"/>
      <c r="D29" s="266"/>
      <c r="E29" s="267"/>
      <c r="F29" s="982"/>
      <c r="G29" s="983"/>
      <c r="H29" s="277">
        <v>100</v>
      </c>
      <c r="I29" s="278" t="s">
        <v>24</v>
      </c>
      <c r="J29" s="279">
        <f t="shared" si="1"/>
        <v>0</v>
      </c>
      <c r="K29" s="275" t="s">
        <v>42</v>
      </c>
      <c r="L29" s="276">
        <v>3.05</v>
      </c>
      <c r="M29" s="699">
        <f t="shared" si="2"/>
        <v>0</v>
      </c>
    </row>
    <row r="30" spans="1:13" ht="16.5" customHeight="1">
      <c r="A30" s="377" t="s">
        <v>277</v>
      </c>
      <c r="B30" s="265" t="s">
        <v>52</v>
      </c>
      <c r="C30" s="266"/>
      <c r="D30" s="266"/>
      <c r="E30" s="267"/>
      <c r="F30" s="982"/>
      <c r="G30" s="983"/>
      <c r="H30" s="277">
        <v>110</v>
      </c>
      <c r="I30" s="278" t="s">
        <v>24</v>
      </c>
      <c r="J30" s="279">
        <f t="shared" si="1"/>
        <v>0</v>
      </c>
      <c r="K30" s="275" t="s">
        <v>42</v>
      </c>
      <c r="L30" s="276">
        <v>2.95</v>
      </c>
      <c r="M30" s="699">
        <f t="shared" si="2"/>
        <v>0</v>
      </c>
    </row>
    <row r="31" spans="1:13" ht="16.5" customHeight="1" thickBot="1">
      <c r="A31" s="700" t="s">
        <v>278</v>
      </c>
      <c r="B31" s="268" t="s">
        <v>52</v>
      </c>
      <c r="C31" s="269"/>
      <c r="D31" s="269"/>
      <c r="E31" s="270"/>
      <c r="F31" s="1024"/>
      <c r="G31" s="1025"/>
      <c r="H31" s="280">
        <v>120</v>
      </c>
      <c r="I31" s="281" t="s">
        <v>24</v>
      </c>
      <c r="J31" s="282">
        <f t="shared" si="1"/>
        <v>0</v>
      </c>
      <c r="K31" s="283" t="s">
        <v>42</v>
      </c>
      <c r="L31" s="284">
        <v>2.85</v>
      </c>
      <c r="M31" s="701">
        <f t="shared" si="2"/>
        <v>0</v>
      </c>
    </row>
    <row r="32" spans="1:13" ht="6.75" customHeight="1" thickBot="1">
      <c r="A32" s="702"/>
      <c r="B32" s="28"/>
      <c r="C32" s="12"/>
      <c r="D32" s="12"/>
      <c r="E32" s="12"/>
      <c r="F32" s="12"/>
      <c r="G32" s="12"/>
      <c r="H32" s="12"/>
      <c r="I32" s="12"/>
      <c r="J32" s="12"/>
      <c r="K32" s="12"/>
      <c r="L32" s="30"/>
      <c r="M32" s="235"/>
    </row>
    <row r="33" spans="1:13" ht="16.5" customHeight="1" thickBot="1">
      <c r="A33" s="1006" t="s">
        <v>37</v>
      </c>
      <c r="B33" s="1007"/>
      <c r="C33" s="1007"/>
      <c r="D33" s="1007"/>
      <c r="E33" s="1007"/>
      <c r="F33" s="705" t="s">
        <v>80</v>
      </c>
      <c r="G33" s="286">
        <f>SUM(F6:G31)</f>
        <v>0</v>
      </c>
      <c r="H33" s="704"/>
      <c r="I33" s="705" t="s">
        <v>24</v>
      </c>
      <c r="J33" s="706">
        <f>SUM(J18+J19+J20+J21+J22+J23+J24+J25+J26+J27+J28+J29)</f>
        <v>0</v>
      </c>
      <c r="K33" s="703"/>
      <c r="L33" s="707"/>
      <c r="M33" s="285">
        <f>SUM(M6:M32)</f>
        <v>0</v>
      </c>
    </row>
    <row r="34" ht="11.25" customHeight="1" thickBot="1"/>
    <row r="35" spans="1:16" ht="18">
      <c r="A35" s="776" t="s">
        <v>43</v>
      </c>
      <c r="B35" s="708"/>
      <c r="C35" s="231"/>
      <c r="D35" s="231"/>
      <c r="E35" s="232"/>
      <c r="G35" s="776" t="s">
        <v>47</v>
      </c>
      <c r="H35" s="708"/>
      <c r="I35" s="231"/>
      <c r="J35" s="231"/>
      <c r="K35" s="231"/>
      <c r="L35" s="231"/>
      <c r="M35" s="232"/>
      <c r="O35" s="98" t="s">
        <v>294</v>
      </c>
      <c r="P35" s="99" t="s">
        <v>42</v>
      </c>
    </row>
    <row r="36" spans="1:13" ht="6.75" customHeight="1">
      <c r="A36" s="709"/>
      <c r="B36" s="710"/>
      <c r="C36" s="12"/>
      <c r="D36" s="12"/>
      <c r="E36" s="235"/>
      <c r="G36" s="233"/>
      <c r="H36" s="12"/>
      <c r="I36" s="12"/>
      <c r="J36" s="12"/>
      <c r="K36" s="12"/>
      <c r="L36" s="12"/>
      <c r="M36" s="235"/>
    </row>
    <row r="37" spans="1:16" ht="21" customHeight="1" thickBot="1">
      <c r="A37" s="1061" t="s">
        <v>298</v>
      </c>
      <c r="B37" s="1062"/>
      <c r="C37" s="178" t="s">
        <v>322</v>
      </c>
      <c r="D37" s="993" t="s">
        <v>44</v>
      </c>
      <c r="E37" s="1051"/>
      <c r="G37" s="984" t="s">
        <v>315</v>
      </c>
      <c r="H37" s="985"/>
      <c r="I37" s="986"/>
      <c r="J37" s="168" t="s">
        <v>321</v>
      </c>
      <c r="K37" s="993" t="s">
        <v>44</v>
      </c>
      <c r="L37" s="986"/>
      <c r="M37" s="712" t="s">
        <v>366</v>
      </c>
      <c r="O37" s="97" t="s">
        <v>295</v>
      </c>
      <c r="P37" s="102">
        <v>1000</v>
      </c>
    </row>
    <row r="38" spans="1:16" ht="16.5" customHeight="1">
      <c r="A38" s="695"/>
      <c r="B38" s="262" t="s">
        <v>45</v>
      </c>
      <c r="C38" s="458"/>
      <c r="D38" s="1031"/>
      <c r="E38" s="1032"/>
      <c r="G38" s="1010" t="s">
        <v>48</v>
      </c>
      <c r="H38" s="1011"/>
      <c r="I38" s="1012"/>
      <c r="J38" s="759"/>
      <c r="K38" s="1004">
        <v>250</v>
      </c>
      <c r="L38" s="1005"/>
      <c r="M38" s="713">
        <f>J38*K38</f>
        <v>0</v>
      </c>
      <c r="O38" s="97" t="s">
        <v>296</v>
      </c>
      <c r="P38" s="102">
        <v>2000</v>
      </c>
    </row>
    <row r="39" spans="1:16" ht="16.5" customHeight="1">
      <c r="A39" s="696"/>
      <c r="B39" s="265" t="s">
        <v>45</v>
      </c>
      <c r="C39" s="459"/>
      <c r="D39" s="1022"/>
      <c r="E39" s="1023"/>
      <c r="G39" s="997" t="s">
        <v>49</v>
      </c>
      <c r="H39" s="998"/>
      <c r="I39" s="999"/>
      <c r="J39" s="760"/>
      <c r="K39" s="990">
        <v>150</v>
      </c>
      <c r="L39" s="991"/>
      <c r="M39" s="714">
        <f>(J39*K39)</f>
        <v>0</v>
      </c>
      <c r="O39" s="97" t="s">
        <v>297</v>
      </c>
      <c r="P39" s="102">
        <v>2300</v>
      </c>
    </row>
    <row r="40" spans="1:16" ht="16.5" customHeight="1">
      <c r="A40" s="696"/>
      <c r="B40" s="265" t="s">
        <v>45</v>
      </c>
      <c r="C40" s="459"/>
      <c r="D40" s="1022"/>
      <c r="E40" s="1023"/>
      <c r="G40" s="997" t="s">
        <v>50</v>
      </c>
      <c r="H40" s="998"/>
      <c r="I40" s="999"/>
      <c r="J40" s="760"/>
      <c r="K40" s="990">
        <v>200</v>
      </c>
      <c r="L40" s="991"/>
      <c r="M40" s="714">
        <f>(J40*K40)</f>
        <v>0</v>
      </c>
      <c r="O40" s="97" t="s">
        <v>384</v>
      </c>
      <c r="P40" s="97"/>
    </row>
    <row r="41" spans="1:17" ht="16.5" customHeight="1">
      <c r="A41" s="696"/>
      <c r="B41" s="265" t="s">
        <v>45</v>
      </c>
      <c r="C41" s="459"/>
      <c r="D41" s="1022"/>
      <c r="E41" s="1023"/>
      <c r="G41" s="997" t="s">
        <v>365</v>
      </c>
      <c r="H41" s="998"/>
      <c r="I41" s="999"/>
      <c r="J41" s="760"/>
      <c r="K41" s="990">
        <v>50</v>
      </c>
      <c r="L41" s="991"/>
      <c r="M41" s="714">
        <f>(J41*K41)</f>
        <v>0</v>
      </c>
      <c r="O41" s="97" t="s">
        <v>300</v>
      </c>
      <c r="P41" s="102">
        <v>1000</v>
      </c>
      <c r="Q41" s="16"/>
    </row>
    <row r="42" spans="1:16" ht="16.5" customHeight="1" thickBot="1">
      <c r="A42" s="711"/>
      <c r="B42" s="268" t="s">
        <v>45</v>
      </c>
      <c r="C42" s="460"/>
      <c r="D42" s="1033"/>
      <c r="E42" s="1034"/>
      <c r="G42" s="1035"/>
      <c r="H42" s="1036"/>
      <c r="I42" s="1037"/>
      <c r="J42" s="761"/>
      <c r="K42" s="1001"/>
      <c r="L42" s="1002"/>
      <c r="M42" s="715">
        <f>(J42*K42)</f>
        <v>0</v>
      </c>
      <c r="O42" s="97" t="s">
        <v>301</v>
      </c>
      <c r="P42" s="102">
        <v>500</v>
      </c>
    </row>
    <row r="43" spans="1:13" ht="18" customHeight="1" thickBot="1">
      <c r="A43" s="1038" t="s">
        <v>10</v>
      </c>
      <c r="B43" s="1039"/>
      <c r="C43" s="1039"/>
      <c r="D43" s="1029">
        <f>SUM(D38:E42)</f>
        <v>0</v>
      </c>
      <c r="E43" s="1030"/>
      <c r="G43" s="1006" t="s">
        <v>10</v>
      </c>
      <c r="H43" s="1007"/>
      <c r="I43" s="1007"/>
      <c r="J43" s="1008"/>
      <c r="K43" s="1007"/>
      <c r="L43" s="1007"/>
      <c r="M43" s="123">
        <f>SUM(M38:M42)</f>
        <v>0</v>
      </c>
    </row>
    <row r="44" spans="1:13" s="51" customFormat="1" ht="9.75" customHeight="1" thickBot="1">
      <c r="A44" s="622"/>
      <c r="B44" s="622"/>
      <c r="C44" s="622"/>
      <c r="D44" s="716"/>
      <c r="E44" s="716"/>
      <c r="G44" s="717"/>
      <c r="H44" s="717"/>
      <c r="I44" s="717"/>
      <c r="J44" s="717"/>
      <c r="K44" s="717"/>
      <c r="L44" s="717"/>
      <c r="M44" s="718"/>
    </row>
    <row r="45" spans="1:17" ht="20.25" customHeight="1">
      <c r="A45" s="776" t="s">
        <v>46</v>
      </c>
      <c r="B45" s="708"/>
      <c r="C45" s="231"/>
      <c r="D45" s="231"/>
      <c r="E45" s="231"/>
      <c r="F45" s="231"/>
      <c r="G45" s="231"/>
      <c r="H45" s="231"/>
      <c r="I45" s="231"/>
      <c r="J45" s="231"/>
      <c r="K45" s="231"/>
      <c r="L45" s="231"/>
      <c r="M45" s="232"/>
      <c r="O45" s="98" t="s">
        <v>323</v>
      </c>
      <c r="P45" s="99" t="s">
        <v>42</v>
      </c>
      <c r="Q45" s="16"/>
    </row>
    <row r="46" spans="1:17" ht="5.25" customHeight="1">
      <c r="A46" s="719"/>
      <c r="B46" s="720"/>
      <c r="C46" s="12"/>
      <c r="D46" s="12"/>
      <c r="E46" s="12"/>
      <c r="F46" s="12"/>
      <c r="G46" s="12"/>
      <c r="H46" s="12"/>
      <c r="I46" s="12"/>
      <c r="J46" s="12"/>
      <c r="K46" s="12"/>
      <c r="L46" s="12"/>
      <c r="M46" s="235"/>
      <c r="O46" s="97" t="s">
        <v>320</v>
      </c>
      <c r="Q46" s="16"/>
    </row>
    <row r="47" spans="1:16" ht="22.5" customHeight="1" thickBot="1">
      <c r="A47" s="1054" t="s">
        <v>307</v>
      </c>
      <c r="B47" s="1055"/>
      <c r="C47" s="1056"/>
      <c r="D47" s="1048" t="s">
        <v>51</v>
      </c>
      <c r="E47" s="1049"/>
      <c r="F47" s="1049"/>
      <c r="G47" s="1050"/>
      <c r="H47" s="121"/>
      <c r="I47" s="993" t="s">
        <v>44</v>
      </c>
      <c r="J47" s="985"/>
      <c r="K47" s="986"/>
      <c r="L47" s="993" t="s">
        <v>368</v>
      </c>
      <c r="M47" s="1051"/>
      <c r="O47" s="97" t="s">
        <v>324</v>
      </c>
      <c r="P47" s="103">
        <v>175</v>
      </c>
    </row>
    <row r="48" spans="1:16" ht="16.5" customHeight="1" thickBot="1">
      <c r="A48" s="1010" t="s">
        <v>82</v>
      </c>
      <c r="B48" s="1011"/>
      <c r="C48" s="762" t="s">
        <v>81</v>
      </c>
      <c r="D48" s="1016"/>
      <c r="E48" s="1017"/>
      <c r="F48" s="1017"/>
      <c r="G48" s="1018"/>
      <c r="H48" s="763"/>
      <c r="I48" s="1013"/>
      <c r="J48" s="1013"/>
      <c r="K48" s="1013"/>
      <c r="L48" s="1046">
        <f>(D48*I48)</f>
        <v>0</v>
      </c>
      <c r="M48" s="1047"/>
      <c r="O48" s="97" t="s">
        <v>325</v>
      </c>
      <c r="P48" s="103">
        <v>350</v>
      </c>
    </row>
    <row r="49" spans="1:16" ht="16.5" customHeight="1" thickBot="1">
      <c r="A49" s="997" t="s">
        <v>316</v>
      </c>
      <c r="B49" s="998"/>
      <c r="C49" s="265" t="s">
        <v>81</v>
      </c>
      <c r="D49" s="1019"/>
      <c r="E49" s="1020"/>
      <c r="F49" s="1020"/>
      <c r="G49" s="1021"/>
      <c r="H49" s="808"/>
      <c r="I49" s="994" t="s">
        <v>309</v>
      </c>
      <c r="J49" s="995"/>
      <c r="K49" s="996"/>
      <c r="L49" s="1040">
        <f>L74</f>
        <v>0</v>
      </c>
      <c r="M49" s="1041"/>
      <c r="O49" s="97" t="s">
        <v>326</v>
      </c>
      <c r="P49" s="103">
        <v>350</v>
      </c>
    </row>
    <row r="50" spans="1:16" ht="16.5" customHeight="1" thickBot="1">
      <c r="A50" s="1014" t="s">
        <v>317</v>
      </c>
      <c r="B50" s="1015"/>
      <c r="C50" s="764" t="s">
        <v>81</v>
      </c>
      <c r="D50" s="1016"/>
      <c r="E50" s="1017"/>
      <c r="F50" s="1017"/>
      <c r="G50" s="1018"/>
      <c r="H50" s="765"/>
      <c r="I50" s="1053"/>
      <c r="J50" s="1053"/>
      <c r="K50" s="1053"/>
      <c r="L50" s="1044">
        <f>D50*I50</f>
        <v>0</v>
      </c>
      <c r="M50" s="1045"/>
      <c r="O50" s="97" t="s">
        <v>327</v>
      </c>
      <c r="P50" s="103">
        <v>700</v>
      </c>
    </row>
    <row r="51" spans="1:16" ht="16.5" customHeight="1" thickBot="1">
      <c r="A51" s="1038" t="s">
        <v>37</v>
      </c>
      <c r="B51" s="1039"/>
      <c r="C51" s="1039"/>
      <c r="D51" s="1052"/>
      <c r="E51" s="1052"/>
      <c r="F51" s="1052"/>
      <c r="G51" s="1052"/>
      <c r="H51" s="1039"/>
      <c r="I51" s="1039"/>
      <c r="J51" s="1039"/>
      <c r="K51" s="1039"/>
      <c r="L51" s="1042">
        <f>SUM(L48:M50)</f>
        <v>0</v>
      </c>
      <c r="M51" s="1043"/>
      <c r="O51" s="97" t="s">
        <v>328</v>
      </c>
      <c r="P51" s="7" t="s">
        <v>522</v>
      </c>
    </row>
    <row r="52" spans="15:16" ht="12.75">
      <c r="O52" s="97" t="s">
        <v>329</v>
      </c>
      <c r="P52" s="7" t="s">
        <v>521</v>
      </c>
    </row>
    <row r="53" spans="1:2" ht="12.75">
      <c r="A53" s="91" t="s">
        <v>299</v>
      </c>
      <c r="B53" s="92" t="s">
        <v>42</v>
      </c>
    </row>
    <row r="54" spans="1:2" ht="12.75">
      <c r="A54" s="3" t="s">
        <v>303</v>
      </c>
      <c r="B54" s="94">
        <v>10</v>
      </c>
    </row>
    <row r="55" spans="1:2" ht="12.75">
      <c r="A55" s="3" t="s">
        <v>410</v>
      </c>
      <c r="B55" t="s">
        <v>302</v>
      </c>
    </row>
    <row r="57" spans="1:2" ht="15">
      <c r="A57" s="1"/>
      <c r="B57" s="1"/>
    </row>
    <row r="58" spans="1:2" ht="12.75">
      <c r="A58" s="6"/>
      <c r="B58" s="6"/>
    </row>
    <row r="62" spans="1:2" ht="12.75">
      <c r="A62" s="25"/>
      <c r="B62" s="25"/>
    </row>
    <row r="63" ht="12.75">
      <c r="A63" s="3" t="s">
        <v>305</v>
      </c>
    </row>
    <row r="64" ht="12.75">
      <c r="A64" s="3"/>
    </row>
    <row r="66" spans="1:5" ht="12.75">
      <c r="A66" s="3" t="s">
        <v>304</v>
      </c>
      <c r="B66" t="s">
        <v>306</v>
      </c>
      <c r="E66" s="93">
        <v>1.2</v>
      </c>
    </row>
    <row r="67" spans="2:5" ht="12.75">
      <c r="B67" t="s">
        <v>314</v>
      </c>
      <c r="E67" s="93">
        <v>0.75</v>
      </c>
    </row>
    <row r="69" ht="13.5" thickBot="1"/>
    <row r="70" spans="1:13" ht="13.5" thickBot="1">
      <c r="A70" s="100" t="s">
        <v>310</v>
      </c>
      <c r="B70" s="101"/>
      <c r="C70" t="s">
        <v>80</v>
      </c>
      <c r="D70" s="454"/>
      <c r="E70" t="s">
        <v>311</v>
      </c>
      <c r="F70" s="1003">
        <v>1.2</v>
      </c>
      <c r="G70" s="1003"/>
      <c r="H70" s="1009">
        <f>D70*F70</f>
        <v>0</v>
      </c>
      <c r="I70" s="1009"/>
      <c r="J70" s="1009"/>
      <c r="L70" s="1000">
        <f>H70</f>
        <v>0</v>
      </c>
      <c r="M70" s="1000"/>
    </row>
    <row r="71" spans="8:13" ht="13.5" thickBot="1">
      <c r="H71" s="462"/>
      <c r="I71" s="93"/>
      <c r="L71" s="461"/>
      <c r="M71" s="461"/>
    </row>
    <row r="72" spans="3:13" ht="13.5" thickBot="1">
      <c r="C72" s="95" t="s">
        <v>312</v>
      </c>
      <c r="D72" s="453"/>
      <c r="E72" t="s">
        <v>313</v>
      </c>
      <c r="F72" s="1003">
        <v>0.75</v>
      </c>
      <c r="G72" s="1003"/>
      <c r="H72" s="989">
        <f>D72*F72</f>
        <v>0</v>
      </c>
      <c r="I72" s="989"/>
      <c r="J72" s="452" t="s">
        <v>315</v>
      </c>
      <c r="K72" s="463" t="s">
        <v>80</v>
      </c>
      <c r="L72" s="992">
        <f>H72*D70</f>
        <v>0</v>
      </c>
      <c r="M72" s="992"/>
    </row>
    <row r="73" spans="8:13" ht="13.5" thickBot="1">
      <c r="H73" s="12"/>
      <c r="L73" s="457"/>
      <c r="M73" s="457"/>
    </row>
    <row r="74" spans="8:13" ht="13.5" thickBot="1">
      <c r="H74" s="96"/>
      <c r="K74" s="8"/>
      <c r="L74" s="987">
        <f>L70+L72</f>
        <v>0</v>
      </c>
      <c r="M74" s="988"/>
    </row>
    <row r="75" spans="1:8" ht="12.75">
      <c r="A75" s="3" t="s">
        <v>318</v>
      </c>
      <c r="B75" t="s">
        <v>319</v>
      </c>
      <c r="H75" s="12"/>
    </row>
  </sheetData>
  <sheetProtection sheet="1"/>
  <mergeCells count="95">
    <mergeCell ref="I15:J15"/>
    <mergeCell ref="I11:J11"/>
    <mergeCell ref="I12:J12"/>
    <mergeCell ref="I13:J13"/>
    <mergeCell ref="I14:J14"/>
    <mergeCell ref="K3:M3"/>
    <mergeCell ref="I9:J9"/>
    <mergeCell ref="I10:J10"/>
    <mergeCell ref="F8:G8"/>
    <mergeCell ref="F6:G6"/>
    <mergeCell ref="F7:G7"/>
    <mergeCell ref="F4:G5"/>
    <mergeCell ref="M4:M5"/>
    <mergeCell ref="K4:L5"/>
    <mergeCell ref="I4:J5"/>
    <mergeCell ref="I6:J6"/>
    <mergeCell ref="I7:J7"/>
    <mergeCell ref="I8:J8"/>
    <mergeCell ref="F18:G18"/>
    <mergeCell ref="F10:G10"/>
    <mergeCell ref="F11:G11"/>
    <mergeCell ref="F14:G14"/>
    <mergeCell ref="F12:G12"/>
    <mergeCell ref="F13:G13"/>
    <mergeCell ref="F16:G16"/>
    <mergeCell ref="A47:C47"/>
    <mergeCell ref="F19:G19"/>
    <mergeCell ref="A4:B5"/>
    <mergeCell ref="A37:B37"/>
    <mergeCell ref="D37:E37"/>
    <mergeCell ref="D4:D5"/>
    <mergeCell ref="E4:E5"/>
    <mergeCell ref="C4:C5"/>
    <mergeCell ref="A33:E33"/>
    <mergeCell ref="F9:G9"/>
    <mergeCell ref="D41:E41"/>
    <mergeCell ref="A43:C43"/>
    <mergeCell ref="L49:M49"/>
    <mergeCell ref="L51:M51"/>
    <mergeCell ref="L50:M50"/>
    <mergeCell ref="L48:M48"/>
    <mergeCell ref="D47:G47"/>
    <mergeCell ref="L47:M47"/>
    <mergeCell ref="A51:K51"/>
    <mergeCell ref="I50:K50"/>
    <mergeCell ref="F21:G21"/>
    <mergeCell ref="H4:H5"/>
    <mergeCell ref="D39:E39"/>
    <mergeCell ref="F28:G28"/>
    <mergeCell ref="F25:G25"/>
    <mergeCell ref="D43:E43"/>
    <mergeCell ref="D38:E38"/>
    <mergeCell ref="G39:I39"/>
    <mergeCell ref="D42:E42"/>
    <mergeCell ref="G42:I42"/>
    <mergeCell ref="D49:G49"/>
    <mergeCell ref="D40:E40"/>
    <mergeCell ref="F15:G15"/>
    <mergeCell ref="F30:G30"/>
    <mergeCell ref="F31:G31"/>
    <mergeCell ref="G40:I40"/>
    <mergeCell ref="I16:J16"/>
    <mergeCell ref="F22:G22"/>
    <mergeCell ref="F17:G17"/>
    <mergeCell ref="F20:G20"/>
    <mergeCell ref="H70:J70"/>
    <mergeCell ref="K40:L40"/>
    <mergeCell ref="K41:L41"/>
    <mergeCell ref="G38:I38"/>
    <mergeCell ref="I48:K48"/>
    <mergeCell ref="A50:B50"/>
    <mergeCell ref="A49:B49"/>
    <mergeCell ref="D48:G48"/>
    <mergeCell ref="D50:G50"/>
    <mergeCell ref="A48:B48"/>
    <mergeCell ref="K42:L42"/>
    <mergeCell ref="F72:G72"/>
    <mergeCell ref="F27:G27"/>
    <mergeCell ref="K37:L37"/>
    <mergeCell ref="K38:L38"/>
    <mergeCell ref="F23:G23"/>
    <mergeCell ref="F24:G24"/>
    <mergeCell ref="F29:G29"/>
    <mergeCell ref="F70:G70"/>
    <mergeCell ref="G43:L43"/>
    <mergeCell ref="F26:G26"/>
    <mergeCell ref="G37:I37"/>
    <mergeCell ref="L74:M74"/>
    <mergeCell ref="H72:I72"/>
    <mergeCell ref="K39:L39"/>
    <mergeCell ref="L72:M72"/>
    <mergeCell ref="I47:K47"/>
    <mergeCell ref="I49:K49"/>
    <mergeCell ref="G41:I41"/>
    <mergeCell ref="L70:M70"/>
  </mergeCells>
  <printOptions/>
  <pageMargins left="0.35433070866141736" right="0.2362204724409449" top="0.15748031496062992" bottom="0" header="0.35433070866141736" footer="0.15748031496062992"/>
  <pageSetup blackAndWhite="1" horizontalDpi="600" verticalDpi="600" orientation="portrait" paperSize="9" r:id="rId2"/>
  <headerFooter alignWithMargins="0">
    <oddFooter>&amp;C&amp;8(C) Lerch Treuhand AG, Itingen</oddFooter>
  </headerFooter>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9">
    <tabColor indexed="10"/>
  </sheetPr>
  <dimension ref="A1:L47"/>
  <sheetViews>
    <sheetView showGridLines="0" showZeros="0" zoomScale="90" zoomScaleNormal="90" zoomScalePageLayoutView="0" workbookViewId="0" topLeftCell="A1">
      <selection activeCell="R19" sqref="R19"/>
    </sheetView>
  </sheetViews>
  <sheetFormatPr defaultColWidth="11.421875" defaultRowHeight="12.75"/>
  <cols>
    <col min="1" max="1" width="4.28125" style="515" customWidth="1"/>
    <col min="2" max="2" width="21.28125" style="509" customWidth="1"/>
    <col min="3" max="3" width="7.421875" style="515" customWidth="1"/>
    <col min="4" max="4" width="1.57421875" style="509" customWidth="1"/>
    <col min="5" max="5" width="6.7109375" style="515" customWidth="1"/>
    <col min="6" max="6" width="6.140625" style="515" bestFit="1" customWidth="1"/>
    <col min="7" max="7" width="7.421875" style="515" bestFit="1" customWidth="1"/>
    <col min="8" max="8" width="2.00390625" style="509" customWidth="1"/>
    <col min="9" max="9" width="11.7109375" style="509" customWidth="1"/>
    <col min="10" max="10" width="2.8515625" style="515" customWidth="1"/>
    <col min="11" max="11" width="2.421875" style="515" customWidth="1"/>
    <col min="12" max="12" width="15.421875" style="511" customWidth="1"/>
    <col min="13" max="13" width="24.421875" style="509" customWidth="1"/>
    <col min="14" max="14" width="7.7109375" style="509" customWidth="1"/>
    <col min="15" max="15" width="2.7109375" style="509" customWidth="1"/>
    <col min="16" max="16" width="7.421875" style="509" customWidth="1"/>
    <col min="17" max="17" width="9.140625" style="509" customWidth="1"/>
    <col min="18" max="18" width="11.140625" style="509" customWidth="1"/>
    <col min="19" max="19" width="5.00390625" style="509" customWidth="1"/>
    <col min="20" max="16384" width="11.421875" style="509" customWidth="1"/>
  </cols>
  <sheetData>
    <row r="1" spans="1:11" ht="23.25" customHeight="1">
      <c r="A1" s="790">
        <f>DECKBLATT!B14</f>
        <v>0</v>
      </c>
      <c r="B1" s="767"/>
      <c r="C1" s="767"/>
      <c r="D1" s="767"/>
      <c r="E1" s="767"/>
      <c r="F1" s="767"/>
      <c r="G1" s="767"/>
      <c r="H1" s="767"/>
      <c r="I1" s="767"/>
      <c r="J1" s="767"/>
      <c r="K1" s="767"/>
    </row>
    <row r="2" ht="12" customHeight="1"/>
    <row r="3" spans="1:6" ht="41.25" customHeight="1">
      <c r="A3" s="1097" t="s">
        <v>493</v>
      </c>
      <c r="B3" s="1097"/>
      <c r="C3" s="1097"/>
      <c r="D3" s="1097"/>
      <c r="E3" s="1097"/>
      <c r="F3" s="1097"/>
    </row>
    <row r="4" spans="1:12" s="512" customFormat="1" ht="30" customHeight="1">
      <c r="A4" s="556" t="s">
        <v>449</v>
      </c>
      <c r="C4" s="516"/>
      <c r="E4" s="516"/>
      <c r="F4" s="516"/>
      <c r="G4" s="516"/>
      <c r="I4" s="1096">
        <f>DECKBLATT!B11</f>
        <v>43830</v>
      </c>
      <c r="J4" s="1096"/>
      <c r="K4" s="1096"/>
      <c r="L4" s="1096"/>
    </row>
    <row r="5" spans="1:12" s="512" customFormat="1" ht="4.5" customHeight="1">
      <c r="A5" s="556"/>
      <c r="C5" s="516"/>
      <c r="E5" s="516"/>
      <c r="F5" s="516"/>
      <c r="G5" s="516"/>
      <c r="I5" s="621"/>
      <c r="J5" s="621"/>
      <c r="K5" s="621"/>
      <c r="L5" s="621"/>
    </row>
    <row r="6" spans="2:12" ht="14.25" customHeight="1" thickBot="1">
      <c r="B6" s="22"/>
      <c r="C6" s="35"/>
      <c r="D6" s="1084" t="s">
        <v>456</v>
      </c>
      <c r="E6" s="1085"/>
      <c r="F6" s="1085"/>
      <c r="G6" s="1085"/>
      <c r="H6" s="1086"/>
      <c r="I6" s="22"/>
      <c r="J6" s="35"/>
      <c r="K6" s="35"/>
      <c r="L6" s="526" t="s">
        <v>434</v>
      </c>
    </row>
    <row r="7" spans="1:12" s="525" customFormat="1" ht="33.75" customHeight="1" thickBot="1">
      <c r="A7" s="522" t="s">
        <v>291</v>
      </c>
      <c r="B7" s="523" t="s">
        <v>428</v>
      </c>
      <c r="C7" s="561" t="s">
        <v>432</v>
      </c>
      <c r="D7" s="726"/>
      <c r="E7" s="694" t="s">
        <v>455</v>
      </c>
      <c r="F7" s="694" t="s">
        <v>430</v>
      </c>
      <c r="G7" s="694" t="s">
        <v>431</v>
      </c>
      <c r="H7" s="727"/>
      <c r="I7" s="1098" t="s">
        <v>457</v>
      </c>
      <c r="J7" s="1099"/>
      <c r="K7" s="524"/>
      <c r="L7" s="570" t="s">
        <v>429</v>
      </c>
    </row>
    <row r="8" spans="1:12" ht="9.75" customHeight="1" thickBot="1">
      <c r="A8" s="728"/>
      <c r="B8" s="510"/>
      <c r="C8" s="521"/>
      <c r="D8" s="510"/>
      <c r="E8" s="521"/>
      <c r="F8" s="521"/>
      <c r="G8" s="521"/>
      <c r="H8" s="510"/>
      <c r="I8" s="796"/>
      <c r="J8" s="797"/>
      <c r="K8" s="521"/>
      <c r="L8" s="729"/>
    </row>
    <row r="9" spans="1:12" s="242" customFormat="1" ht="24" customHeight="1">
      <c r="A9" s="721">
        <v>1</v>
      </c>
      <c r="B9" s="795"/>
      <c r="C9" s="794"/>
      <c r="D9" s="564"/>
      <c r="E9" s="565"/>
      <c r="F9" s="565"/>
      <c r="G9" s="565"/>
      <c r="H9" s="564"/>
      <c r="I9" s="801"/>
      <c r="J9" s="801"/>
      <c r="K9" s="566"/>
      <c r="L9" s="798"/>
    </row>
    <row r="10" spans="1:12" s="242" customFormat="1" ht="24" customHeight="1">
      <c r="A10" s="722">
        <v>2</v>
      </c>
      <c r="B10" s="562"/>
      <c r="C10" s="563"/>
      <c r="D10" s="559"/>
      <c r="E10" s="558"/>
      <c r="F10" s="558"/>
      <c r="G10" s="558"/>
      <c r="H10" s="559"/>
      <c r="I10" s="800"/>
      <c r="J10" s="801"/>
      <c r="K10" s="560"/>
      <c r="L10" s="799"/>
    </row>
    <row r="11" spans="1:12" s="242" customFormat="1" ht="24" customHeight="1">
      <c r="A11" s="722">
        <v>3</v>
      </c>
      <c r="B11" s="562"/>
      <c r="C11" s="563"/>
      <c r="D11" s="559"/>
      <c r="E11" s="558"/>
      <c r="F11" s="558"/>
      <c r="G11" s="558"/>
      <c r="H11" s="559"/>
      <c r="I11" s="800"/>
      <c r="J11" s="801"/>
      <c r="K11" s="560"/>
      <c r="L11" s="567"/>
    </row>
    <row r="12" spans="1:12" s="242" customFormat="1" ht="24" customHeight="1">
      <c r="A12" s="722">
        <v>4</v>
      </c>
      <c r="B12" s="562"/>
      <c r="C12" s="563"/>
      <c r="D12" s="559"/>
      <c r="E12" s="558"/>
      <c r="F12" s="558"/>
      <c r="G12" s="558"/>
      <c r="H12" s="559"/>
      <c r="I12" s="800"/>
      <c r="J12" s="801"/>
      <c r="K12" s="560"/>
      <c r="L12" s="567"/>
    </row>
    <row r="13" spans="1:12" s="242" customFormat="1" ht="24" customHeight="1">
      <c r="A13" s="722">
        <v>5</v>
      </c>
      <c r="B13" s="562"/>
      <c r="C13" s="563"/>
      <c r="D13" s="559"/>
      <c r="E13" s="558"/>
      <c r="F13" s="558"/>
      <c r="G13" s="558"/>
      <c r="H13" s="559"/>
      <c r="I13" s="800"/>
      <c r="J13" s="800"/>
      <c r="K13" s="560"/>
      <c r="L13" s="567"/>
    </row>
    <row r="14" spans="1:12" s="242" customFormat="1" ht="24" customHeight="1">
      <c r="A14" s="722">
        <v>6</v>
      </c>
      <c r="B14" s="562"/>
      <c r="C14" s="563"/>
      <c r="D14" s="559"/>
      <c r="E14" s="558"/>
      <c r="F14" s="558"/>
      <c r="G14" s="558"/>
      <c r="H14" s="559"/>
      <c r="I14" s="800"/>
      <c r="J14" s="800"/>
      <c r="K14" s="560"/>
      <c r="L14" s="567"/>
    </row>
    <row r="15" spans="1:12" s="242" customFormat="1" ht="24" customHeight="1">
      <c r="A15" s="722">
        <v>7</v>
      </c>
      <c r="B15" s="562"/>
      <c r="C15" s="563"/>
      <c r="D15" s="559"/>
      <c r="E15" s="558"/>
      <c r="F15" s="558"/>
      <c r="G15" s="558"/>
      <c r="H15" s="559"/>
      <c r="I15" s="800"/>
      <c r="J15" s="800"/>
      <c r="K15" s="560"/>
      <c r="L15" s="567"/>
    </row>
    <row r="16" spans="1:12" s="242" customFormat="1" ht="24" customHeight="1">
      <c r="A16" s="722">
        <v>8</v>
      </c>
      <c r="B16" s="562"/>
      <c r="C16" s="563"/>
      <c r="D16" s="559"/>
      <c r="E16" s="558"/>
      <c r="F16" s="558"/>
      <c r="G16" s="558"/>
      <c r="H16" s="559"/>
      <c r="I16" s="800"/>
      <c r="J16" s="800"/>
      <c r="K16" s="560"/>
      <c r="L16" s="567"/>
    </row>
    <row r="17" spans="1:12" s="242" customFormat="1" ht="24" customHeight="1">
      <c r="A17" s="722">
        <v>9</v>
      </c>
      <c r="B17" s="562"/>
      <c r="C17" s="563"/>
      <c r="D17" s="559"/>
      <c r="E17" s="558"/>
      <c r="F17" s="558"/>
      <c r="G17" s="558"/>
      <c r="H17" s="559"/>
      <c r="I17" s="800"/>
      <c r="J17" s="800"/>
      <c r="K17" s="560"/>
      <c r="L17" s="567"/>
    </row>
    <row r="18" spans="1:12" s="242" customFormat="1" ht="24" customHeight="1">
      <c r="A18" s="722">
        <v>10</v>
      </c>
      <c r="B18" s="562"/>
      <c r="C18" s="563"/>
      <c r="D18" s="559"/>
      <c r="E18" s="558"/>
      <c r="F18" s="558"/>
      <c r="G18" s="558"/>
      <c r="H18" s="559"/>
      <c r="I18" s="800"/>
      <c r="J18" s="800"/>
      <c r="K18" s="560"/>
      <c r="L18" s="567"/>
    </row>
    <row r="19" spans="1:12" s="242" customFormat="1" ht="24" customHeight="1">
      <c r="A19" s="722">
        <v>11</v>
      </c>
      <c r="B19" s="562"/>
      <c r="C19" s="563"/>
      <c r="D19" s="559"/>
      <c r="E19" s="558"/>
      <c r="F19" s="558"/>
      <c r="G19" s="558"/>
      <c r="H19" s="559"/>
      <c r="I19" s="800"/>
      <c r="J19" s="800"/>
      <c r="K19" s="560"/>
      <c r="L19" s="567"/>
    </row>
    <row r="20" spans="1:12" s="242" customFormat="1" ht="24" customHeight="1">
      <c r="A20" s="722">
        <v>12</v>
      </c>
      <c r="B20" s="562"/>
      <c r="C20" s="563"/>
      <c r="D20" s="559"/>
      <c r="E20" s="558"/>
      <c r="F20" s="558"/>
      <c r="G20" s="558"/>
      <c r="H20" s="559"/>
      <c r="I20" s="800"/>
      <c r="J20" s="800"/>
      <c r="K20" s="560"/>
      <c r="L20" s="567"/>
    </row>
    <row r="21" spans="1:12" s="242" customFormat="1" ht="24" customHeight="1">
      <c r="A21" s="722">
        <v>13</v>
      </c>
      <c r="B21" s="562"/>
      <c r="C21" s="563"/>
      <c r="D21" s="559"/>
      <c r="E21" s="558"/>
      <c r="F21" s="558"/>
      <c r="G21" s="558"/>
      <c r="H21" s="559"/>
      <c r="I21" s="800"/>
      <c r="J21" s="800"/>
      <c r="K21" s="560"/>
      <c r="L21" s="567"/>
    </row>
    <row r="22" spans="1:12" s="242" customFormat="1" ht="24" customHeight="1">
      <c r="A22" s="722">
        <v>14</v>
      </c>
      <c r="B22" s="562"/>
      <c r="C22" s="563"/>
      <c r="D22" s="559"/>
      <c r="E22" s="558"/>
      <c r="F22" s="558"/>
      <c r="G22" s="558"/>
      <c r="H22" s="559"/>
      <c r="I22" s="800"/>
      <c r="J22" s="800"/>
      <c r="K22" s="560"/>
      <c r="L22" s="567"/>
    </row>
    <row r="23" spans="1:12" s="242" customFormat="1" ht="24" customHeight="1">
      <c r="A23" s="722">
        <v>15</v>
      </c>
      <c r="B23" s="562"/>
      <c r="C23" s="563"/>
      <c r="D23" s="559"/>
      <c r="E23" s="558"/>
      <c r="F23" s="558"/>
      <c r="G23" s="558"/>
      <c r="H23" s="559"/>
      <c r="I23" s="800"/>
      <c r="J23" s="800"/>
      <c r="K23" s="560"/>
      <c r="L23" s="567"/>
    </row>
    <row r="24" spans="1:12" s="242" customFormat="1" ht="24" customHeight="1">
      <c r="A24" s="722">
        <v>16</v>
      </c>
      <c r="B24" s="562"/>
      <c r="C24" s="563"/>
      <c r="D24" s="559"/>
      <c r="E24" s="558"/>
      <c r="F24" s="558"/>
      <c r="G24" s="558"/>
      <c r="H24" s="559"/>
      <c r="I24" s="800"/>
      <c r="J24" s="800"/>
      <c r="K24" s="560"/>
      <c r="L24" s="567"/>
    </row>
    <row r="25" spans="1:12" s="242" customFormat="1" ht="24" customHeight="1">
      <c r="A25" s="722">
        <v>17</v>
      </c>
      <c r="B25" s="562"/>
      <c r="C25" s="563"/>
      <c r="D25" s="559"/>
      <c r="E25" s="558"/>
      <c r="F25" s="558"/>
      <c r="G25" s="558"/>
      <c r="H25" s="559"/>
      <c r="I25" s="800"/>
      <c r="J25" s="800"/>
      <c r="K25" s="560"/>
      <c r="L25" s="567"/>
    </row>
    <row r="26" spans="1:12" s="242" customFormat="1" ht="24" customHeight="1">
      <c r="A26" s="722">
        <v>18</v>
      </c>
      <c r="B26" s="562"/>
      <c r="C26" s="563"/>
      <c r="D26" s="559"/>
      <c r="E26" s="558"/>
      <c r="F26" s="558"/>
      <c r="G26" s="558"/>
      <c r="H26" s="559"/>
      <c r="I26" s="800"/>
      <c r="J26" s="800"/>
      <c r="K26" s="560"/>
      <c r="L26" s="567"/>
    </row>
    <row r="27" spans="1:12" s="242" customFormat="1" ht="24" customHeight="1">
      <c r="A27" s="722">
        <v>19</v>
      </c>
      <c r="B27" s="562"/>
      <c r="C27" s="563"/>
      <c r="D27" s="559"/>
      <c r="E27" s="558"/>
      <c r="F27" s="558"/>
      <c r="G27" s="558"/>
      <c r="H27" s="559"/>
      <c r="I27" s="800"/>
      <c r="J27" s="800"/>
      <c r="K27" s="560"/>
      <c r="L27" s="567"/>
    </row>
    <row r="28" spans="1:12" s="242" customFormat="1" ht="24" customHeight="1" thickBot="1">
      <c r="A28" s="722">
        <v>20</v>
      </c>
      <c r="B28" s="723"/>
      <c r="C28" s="724"/>
      <c r="D28" s="559"/>
      <c r="E28" s="558"/>
      <c r="F28" s="558"/>
      <c r="G28" s="558"/>
      <c r="H28" s="559"/>
      <c r="I28" s="800"/>
      <c r="J28" s="800"/>
      <c r="K28" s="560"/>
      <c r="L28" s="725"/>
    </row>
    <row r="29" spans="1:12" s="520" customFormat="1" ht="24" customHeight="1" thickBot="1">
      <c r="A29" s="730"/>
      <c r="B29" s="731" t="s">
        <v>433</v>
      </c>
      <c r="C29" s="519"/>
      <c r="D29" s="518"/>
      <c r="E29" s="519"/>
      <c r="F29" s="519"/>
      <c r="G29" s="519"/>
      <c r="H29" s="518"/>
      <c r="I29" s="732">
        <f>SUM(I9:I28)</f>
        <v>0</v>
      </c>
      <c r="J29" s="733"/>
      <c r="K29" s="527"/>
      <c r="L29" s="528">
        <f>SUM(L9:L28)</f>
        <v>0</v>
      </c>
    </row>
    <row r="30" spans="1:12" s="513" customFormat="1" ht="7.5" customHeight="1">
      <c r="A30" s="517"/>
      <c r="C30" s="517"/>
      <c r="E30" s="517"/>
      <c r="F30" s="517"/>
      <c r="G30" s="517"/>
      <c r="J30" s="517"/>
      <c r="K30" s="517"/>
      <c r="L30" s="514"/>
    </row>
    <row r="31" spans="1:12" s="575" customFormat="1" ht="18.75" thickBot="1">
      <c r="A31" s="663" t="s">
        <v>488</v>
      </c>
      <c r="B31" s="734"/>
      <c r="C31" s="663"/>
      <c r="D31" s="663"/>
      <c r="E31" s="574"/>
      <c r="F31" s="574"/>
      <c r="G31" s="574"/>
      <c r="H31" s="574"/>
      <c r="J31" s="573"/>
      <c r="K31" s="573"/>
      <c r="L31" s="576"/>
    </row>
    <row r="32" spans="1:12" ht="14.25" customHeight="1">
      <c r="A32" s="1087"/>
      <c r="B32" s="1088"/>
      <c r="C32" s="1088"/>
      <c r="D32" s="1088"/>
      <c r="E32" s="1088"/>
      <c r="F32" s="1088"/>
      <c r="G32" s="1088"/>
      <c r="H32" s="1088"/>
      <c r="I32" s="1088"/>
      <c r="J32" s="1088"/>
      <c r="K32" s="1088"/>
      <c r="L32" s="1089"/>
    </row>
    <row r="33" spans="1:12" ht="14.25" customHeight="1">
      <c r="A33" s="1090"/>
      <c r="B33" s="1091"/>
      <c r="C33" s="1091"/>
      <c r="D33" s="1091"/>
      <c r="E33" s="1091"/>
      <c r="F33" s="1091"/>
      <c r="G33" s="1091"/>
      <c r="H33" s="1091"/>
      <c r="I33" s="1091"/>
      <c r="J33" s="1091"/>
      <c r="K33" s="1091"/>
      <c r="L33" s="1092"/>
    </row>
    <row r="34" spans="1:12" ht="14.25" customHeight="1">
      <c r="A34" s="1090"/>
      <c r="B34" s="1091"/>
      <c r="C34" s="1091"/>
      <c r="D34" s="1091"/>
      <c r="E34" s="1091"/>
      <c r="F34" s="1091"/>
      <c r="G34" s="1091"/>
      <c r="H34" s="1091"/>
      <c r="I34" s="1091"/>
      <c r="J34" s="1091"/>
      <c r="K34" s="1091"/>
      <c r="L34" s="1092"/>
    </row>
    <row r="35" spans="1:12" ht="15" customHeight="1" thickBot="1">
      <c r="A35" s="1093"/>
      <c r="B35" s="1094"/>
      <c r="C35" s="1094"/>
      <c r="D35" s="1094"/>
      <c r="E35" s="1094"/>
      <c r="F35" s="1094"/>
      <c r="G35" s="1094"/>
      <c r="H35" s="1094"/>
      <c r="I35" s="1094"/>
      <c r="J35" s="1094"/>
      <c r="K35" s="1094"/>
      <c r="L35" s="1095"/>
    </row>
    <row r="36" spans="1:12" ht="18">
      <c r="A36" s="509"/>
      <c r="L36" s="514"/>
    </row>
    <row r="37" ht="18">
      <c r="L37" s="514"/>
    </row>
    <row r="38" ht="18">
      <c r="L38" s="514"/>
    </row>
    <row r="39" ht="18">
      <c r="L39" s="514"/>
    </row>
    <row r="40" ht="18">
      <c r="L40" s="514"/>
    </row>
    <row r="41" ht="18">
      <c r="L41" s="514"/>
    </row>
    <row r="42" ht="18">
      <c r="L42" s="514"/>
    </row>
    <row r="43" ht="18">
      <c r="L43" s="514"/>
    </row>
    <row r="44" ht="18">
      <c r="L44" s="514"/>
    </row>
    <row r="45" ht="18">
      <c r="L45" s="514"/>
    </row>
    <row r="46" ht="18">
      <c r="L46" s="514"/>
    </row>
    <row r="47" ht="18">
      <c r="L47" s="514"/>
    </row>
  </sheetData>
  <sheetProtection sheet="1"/>
  <protectedRanges>
    <protectedRange sqref="B9:B28" name="Bereich1"/>
    <protectedRange sqref="C9:C28" name="Bereich2"/>
    <protectedRange sqref="I9:I28" name="Bereich3"/>
    <protectedRange sqref="L9:L28" name="Bereich4"/>
  </protectedRanges>
  <mergeCells count="5">
    <mergeCell ref="D6:H6"/>
    <mergeCell ref="A32:L35"/>
    <mergeCell ref="I4:L4"/>
    <mergeCell ref="A3:F3"/>
    <mergeCell ref="I7:J7"/>
  </mergeCells>
  <printOptions/>
  <pageMargins left="0.7480314960629921" right="0.2362204724409449" top="0.3937007874015748" bottom="0.11811023622047245" header="0.3937007874015748" footer="0.2755905511811024"/>
  <pageSetup blackAndWhite="1" horizontalDpi="600" verticalDpi="600" orientation="portrait" paperSize="9" r:id="rId3"/>
  <headerFooter alignWithMargins="0">
    <oddFooter>&amp;C&amp;8(C) Lerch Treuhand AG, Itingen</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Tabelle9">
    <tabColor indexed="10"/>
  </sheetPr>
  <dimension ref="A1:I58"/>
  <sheetViews>
    <sheetView showGridLines="0" showZeros="0" zoomScale="90" zoomScaleNormal="90" zoomScalePageLayoutView="0" workbookViewId="0" topLeftCell="A1">
      <selection activeCell="I25" sqref="I25"/>
    </sheetView>
  </sheetViews>
  <sheetFormatPr defaultColWidth="11.421875" defaultRowHeight="12.75"/>
  <cols>
    <col min="1" max="1" width="32.28125" style="0" customWidth="1"/>
    <col min="2" max="2" width="38.00390625" style="0" customWidth="1"/>
    <col min="3" max="3" width="15.7109375" style="0" customWidth="1"/>
    <col min="4" max="4" width="11.00390625" style="0" customWidth="1"/>
  </cols>
  <sheetData>
    <row r="1" ht="23.25">
      <c r="A1" s="790">
        <f>DECKBLATT!B14</f>
        <v>0</v>
      </c>
    </row>
    <row r="2" spans="2:3" ht="18.75" customHeight="1">
      <c r="B2" s="221"/>
      <c r="C2" s="221"/>
    </row>
    <row r="3" spans="1:4" ht="7.5" customHeight="1">
      <c r="A3" s="5"/>
      <c r="D3" s="15"/>
    </row>
    <row r="4" spans="1:4" ht="30.75" customHeight="1">
      <c r="A4" s="556" t="s">
        <v>486</v>
      </c>
      <c r="C4" s="957">
        <f>DECKBLATT!B11</f>
        <v>43830</v>
      </c>
      <c r="D4" s="957"/>
    </row>
    <row r="5" ht="12" customHeight="1">
      <c r="A5" s="6"/>
    </row>
    <row r="6" spans="1:4" s="26" customFormat="1" ht="24.75" customHeight="1">
      <c r="A6" s="190" t="s">
        <v>87</v>
      </c>
      <c r="B6" s="190" t="s">
        <v>86</v>
      </c>
      <c r="C6" s="191" t="s">
        <v>83</v>
      </c>
      <c r="D6" s="192" t="s">
        <v>84</v>
      </c>
    </row>
    <row r="7" spans="1:4" s="18" customFormat="1" ht="20.25" customHeight="1">
      <c r="A7" s="287"/>
      <c r="B7" s="288"/>
      <c r="C7" s="289"/>
      <c r="D7" s="591"/>
    </row>
    <row r="8" spans="1:4" s="18" customFormat="1" ht="20.25" customHeight="1">
      <c r="A8" s="290"/>
      <c r="B8" s="291"/>
      <c r="C8" s="292"/>
      <c r="D8" s="592"/>
    </row>
    <row r="9" spans="1:4" s="18" customFormat="1" ht="20.25" customHeight="1">
      <c r="A9" s="290"/>
      <c r="B9" s="291"/>
      <c r="C9" s="292"/>
      <c r="D9" s="592"/>
    </row>
    <row r="10" spans="1:4" s="18" customFormat="1" ht="20.25" customHeight="1">
      <c r="A10" s="290"/>
      <c r="B10" s="291"/>
      <c r="C10" s="292"/>
      <c r="D10" s="592"/>
    </row>
    <row r="11" spans="1:4" s="18" customFormat="1" ht="20.25" customHeight="1">
      <c r="A11" s="290"/>
      <c r="B11" s="291"/>
      <c r="C11" s="292"/>
      <c r="D11" s="592"/>
    </row>
    <row r="12" spans="1:4" s="18" customFormat="1" ht="20.25" customHeight="1">
      <c r="A12" s="290"/>
      <c r="B12" s="291"/>
      <c r="C12" s="292"/>
      <c r="D12" s="592"/>
    </row>
    <row r="13" spans="1:4" s="18" customFormat="1" ht="20.25" customHeight="1">
      <c r="A13" s="290"/>
      <c r="B13" s="291"/>
      <c r="C13" s="292"/>
      <c r="D13" s="592"/>
    </row>
    <row r="14" spans="1:4" s="18" customFormat="1" ht="20.25" customHeight="1">
      <c r="A14" s="290"/>
      <c r="B14" s="291"/>
      <c r="C14" s="292"/>
      <c r="D14" s="592"/>
    </row>
    <row r="15" spans="1:4" s="18" customFormat="1" ht="20.25" customHeight="1">
      <c r="A15" s="290"/>
      <c r="B15" s="291"/>
      <c r="C15" s="292"/>
      <c r="D15" s="592"/>
    </row>
    <row r="16" spans="1:4" s="18" customFormat="1" ht="20.25" customHeight="1">
      <c r="A16" s="290"/>
      <c r="B16" s="291"/>
      <c r="C16" s="292"/>
      <c r="D16" s="592"/>
    </row>
    <row r="17" spans="1:4" s="18" customFormat="1" ht="20.25" customHeight="1">
      <c r="A17" s="290"/>
      <c r="B17" s="291"/>
      <c r="C17" s="292"/>
      <c r="D17" s="592"/>
    </row>
    <row r="18" spans="1:4" s="18" customFormat="1" ht="20.25" customHeight="1">
      <c r="A18" s="290"/>
      <c r="B18" s="291"/>
      <c r="C18" s="292"/>
      <c r="D18" s="592"/>
    </row>
    <row r="19" spans="1:4" s="18" customFormat="1" ht="20.25" customHeight="1">
      <c r="A19" s="290"/>
      <c r="B19" s="291"/>
      <c r="C19" s="292"/>
      <c r="D19" s="592"/>
    </row>
    <row r="20" spans="1:4" s="18" customFormat="1" ht="20.25" customHeight="1">
      <c r="A20" s="290"/>
      <c r="B20" s="291"/>
      <c r="C20" s="292"/>
      <c r="D20" s="592"/>
    </row>
    <row r="21" spans="1:4" s="18" customFormat="1" ht="20.25" customHeight="1">
      <c r="A21" s="290"/>
      <c r="B21" s="291"/>
      <c r="C21" s="292"/>
      <c r="D21" s="592"/>
    </row>
    <row r="22" spans="1:4" s="18" customFormat="1" ht="20.25" customHeight="1">
      <c r="A22" s="290"/>
      <c r="B22" s="291"/>
      <c r="C22" s="292"/>
      <c r="D22" s="592"/>
    </row>
    <row r="23" spans="1:4" s="18" customFormat="1" ht="20.25" customHeight="1">
      <c r="A23" s="290"/>
      <c r="B23" s="291"/>
      <c r="C23" s="292"/>
      <c r="D23" s="592"/>
    </row>
    <row r="24" spans="1:4" s="18" customFormat="1" ht="20.25" customHeight="1">
      <c r="A24" s="290"/>
      <c r="B24" s="291"/>
      <c r="C24" s="292"/>
      <c r="D24" s="592"/>
    </row>
    <row r="25" spans="1:4" s="18" customFormat="1" ht="20.25" customHeight="1">
      <c r="A25" s="290"/>
      <c r="B25" s="291"/>
      <c r="C25" s="292"/>
      <c r="D25" s="592"/>
    </row>
    <row r="26" spans="1:4" s="18" customFormat="1" ht="20.25" customHeight="1">
      <c r="A26" s="290"/>
      <c r="B26" s="291"/>
      <c r="C26" s="292"/>
      <c r="D26" s="592"/>
    </row>
    <row r="27" spans="1:4" s="18" customFormat="1" ht="20.25" customHeight="1">
      <c r="A27" s="290"/>
      <c r="B27" s="291"/>
      <c r="C27" s="292"/>
      <c r="D27" s="592"/>
    </row>
    <row r="28" spans="1:4" s="18" customFormat="1" ht="20.25" customHeight="1">
      <c r="A28" s="290"/>
      <c r="B28" s="291"/>
      <c r="C28" s="292"/>
      <c r="D28" s="592"/>
    </row>
    <row r="29" spans="1:4" s="18" customFormat="1" ht="20.25" customHeight="1">
      <c r="A29" s="290"/>
      <c r="B29" s="291"/>
      <c r="C29" s="292"/>
      <c r="D29" s="592"/>
    </row>
    <row r="30" spans="1:4" s="18" customFormat="1" ht="20.25" customHeight="1">
      <c r="A30" s="290"/>
      <c r="B30" s="291"/>
      <c r="C30" s="292"/>
      <c r="D30" s="592"/>
    </row>
    <row r="31" spans="1:4" s="18" customFormat="1" ht="20.25" customHeight="1">
      <c r="A31" s="290"/>
      <c r="B31" s="291"/>
      <c r="C31" s="292"/>
      <c r="D31" s="592"/>
    </row>
    <row r="32" spans="1:4" s="18" customFormat="1" ht="20.25" customHeight="1">
      <c r="A32" s="290"/>
      <c r="B32" s="291"/>
      <c r="C32" s="292"/>
      <c r="D32" s="592"/>
    </row>
    <row r="33" spans="1:4" s="18" customFormat="1" ht="20.25" customHeight="1">
      <c r="A33" s="290"/>
      <c r="B33" s="291"/>
      <c r="C33" s="292"/>
      <c r="D33" s="592"/>
    </row>
    <row r="34" spans="1:4" s="18" customFormat="1" ht="20.25" customHeight="1">
      <c r="A34" s="290"/>
      <c r="B34" s="291"/>
      <c r="C34" s="292"/>
      <c r="D34" s="592"/>
    </row>
    <row r="35" spans="1:4" s="18" customFormat="1" ht="20.25" customHeight="1">
      <c r="A35" s="290"/>
      <c r="B35" s="291"/>
      <c r="C35" s="292"/>
      <c r="D35" s="592"/>
    </row>
    <row r="36" spans="1:4" s="18" customFormat="1" ht="20.25" customHeight="1">
      <c r="A36" s="290"/>
      <c r="B36" s="291"/>
      <c r="C36" s="292"/>
      <c r="D36" s="592"/>
    </row>
    <row r="37" spans="1:4" s="18" customFormat="1" ht="21" customHeight="1">
      <c r="A37" s="290"/>
      <c r="B37" s="291"/>
      <c r="C37" s="292"/>
      <c r="D37" s="592"/>
    </row>
    <row r="38" spans="1:4" s="18" customFormat="1" ht="20.25" customHeight="1">
      <c r="A38" s="293"/>
      <c r="B38" s="294"/>
      <c r="C38" s="295"/>
      <c r="D38" s="593"/>
    </row>
    <row r="39" spans="1:3" ht="9" customHeight="1" thickBot="1">
      <c r="A39" s="23"/>
      <c r="C39" s="32"/>
    </row>
    <row r="40" spans="1:4" s="31" customFormat="1" ht="27" customHeight="1" thickBot="1">
      <c r="A40" s="1100" t="s">
        <v>85</v>
      </c>
      <c r="B40" s="1101"/>
      <c r="C40" s="229">
        <f>SUM(C7:C38)</f>
        <v>0</v>
      </c>
      <c r="D40" s="228">
        <v>1040</v>
      </c>
    </row>
    <row r="58" ht="12.75">
      <c r="I58" s="117"/>
    </row>
  </sheetData>
  <sheetProtection sheet="1"/>
  <protectedRanges>
    <protectedRange sqref="A7:D38" name="Bereich1"/>
  </protectedRanges>
  <mergeCells count="2">
    <mergeCell ref="A40:B40"/>
    <mergeCell ref="C4:D4"/>
  </mergeCells>
  <printOptions/>
  <pageMargins left="0.3937007874015748" right="0.3937007874015748"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3.xml><?xml version="1.0" encoding="utf-8"?>
<worksheet xmlns="http://schemas.openxmlformats.org/spreadsheetml/2006/main" xmlns:r="http://schemas.openxmlformats.org/officeDocument/2006/relationships">
  <sheetPr codeName="Tabelle22">
    <tabColor indexed="10"/>
  </sheetPr>
  <dimension ref="A1:D40"/>
  <sheetViews>
    <sheetView showGridLines="0" showZeros="0" zoomScale="90" zoomScaleNormal="90" workbookViewId="0" topLeftCell="A1">
      <selection activeCell="J24" sqref="J24"/>
    </sheetView>
  </sheetViews>
  <sheetFormatPr defaultColWidth="11.421875" defaultRowHeight="12.75"/>
  <cols>
    <col min="1" max="1" width="32.28125" style="624" customWidth="1"/>
    <col min="2" max="2" width="38.00390625" style="624" customWidth="1"/>
    <col min="3" max="3" width="15.7109375" style="624" customWidth="1"/>
    <col min="4" max="4" width="11.00390625" style="624" customWidth="1"/>
    <col min="5" max="16384" width="11.421875" style="624" customWidth="1"/>
  </cols>
  <sheetData>
    <row r="1" ht="23.25">
      <c r="A1" s="791">
        <f>DECKBLATT!B14</f>
        <v>0</v>
      </c>
    </row>
    <row r="2" spans="2:3" ht="18.75" customHeight="1">
      <c r="B2" s="625"/>
      <c r="C2" s="625"/>
    </row>
    <row r="3" spans="1:4" ht="20.25" customHeight="1">
      <c r="A3" s="626" t="s">
        <v>474</v>
      </c>
      <c r="D3" s="627"/>
    </row>
    <row r="4" spans="1:4" ht="30.75" customHeight="1">
      <c r="A4" s="628" t="s">
        <v>486</v>
      </c>
      <c r="C4" s="1104">
        <f>DECKBLATT!B11</f>
        <v>43830</v>
      </c>
      <c r="D4" s="1104"/>
    </row>
    <row r="5" ht="12" customHeight="1">
      <c r="A5" s="629"/>
    </row>
    <row r="6" spans="1:4" s="633" customFormat="1" ht="24.75" customHeight="1" thickBot="1">
      <c r="A6" s="630" t="s">
        <v>87</v>
      </c>
      <c r="B6" s="630" t="s">
        <v>86</v>
      </c>
      <c r="C6" s="631" t="s">
        <v>83</v>
      </c>
      <c r="D6" s="632" t="s">
        <v>84</v>
      </c>
    </row>
    <row r="7" spans="1:4" s="638" customFormat="1" ht="20.25" customHeight="1" thickBot="1">
      <c r="A7" s="634"/>
      <c r="B7" s="635" t="s">
        <v>476</v>
      </c>
      <c r="C7" s="636">
        <f>Debitoren!C40</f>
        <v>0</v>
      </c>
      <c r="D7" s="637"/>
    </row>
    <row r="8" spans="1:4" s="638" customFormat="1" ht="20.25" customHeight="1">
      <c r="A8" s="639"/>
      <c r="B8" s="623"/>
      <c r="C8" s="640"/>
      <c r="D8" s="641"/>
    </row>
    <row r="9" spans="1:4" s="638" customFormat="1" ht="20.25" customHeight="1">
      <c r="A9" s="642"/>
      <c r="B9" s="643"/>
      <c r="C9" s="644"/>
      <c r="D9" s="645"/>
    </row>
    <row r="10" spans="1:4" s="638" customFormat="1" ht="20.25" customHeight="1">
      <c r="A10" s="642"/>
      <c r="B10" s="643"/>
      <c r="C10" s="644"/>
      <c r="D10" s="645"/>
    </row>
    <row r="11" spans="1:4" s="638" customFormat="1" ht="20.25" customHeight="1">
      <c r="A11" s="642"/>
      <c r="B11" s="643"/>
      <c r="C11" s="644"/>
      <c r="D11" s="645"/>
    </row>
    <row r="12" spans="1:4" s="638" customFormat="1" ht="20.25" customHeight="1">
      <c r="A12" s="642"/>
      <c r="B12" s="643"/>
      <c r="C12" s="644"/>
      <c r="D12" s="645"/>
    </row>
    <row r="13" spans="1:4" s="638" customFormat="1" ht="20.25" customHeight="1">
      <c r="A13" s="642"/>
      <c r="B13" s="643"/>
      <c r="C13" s="644"/>
      <c r="D13" s="645"/>
    </row>
    <row r="14" spans="1:4" s="638" customFormat="1" ht="20.25" customHeight="1">
      <c r="A14" s="642"/>
      <c r="B14" s="643"/>
      <c r="C14" s="644"/>
      <c r="D14" s="645"/>
    </row>
    <row r="15" spans="1:4" s="638" customFormat="1" ht="20.25" customHeight="1">
      <c r="A15" s="642"/>
      <c r="B15" s="643"/>
      <c r="C15" s="644"/>
      <c r="D15" s="645"/>
    </row>
    <row r="16" spans="1:4" s="638" customFormat="1" ht="20.25" customHeight="1">
      <c r="A16" s="642"/>
      <c r="B16" s="643"/>
      <c r="C16" s="644"/>
      <c r="D16" s="645"/>
    </row>
    <row r="17" spans="1:4" s="638" customFormat="1" ht="20.25" customHeight="1">
      <c r="A17" s="642"/>
      <c r="B17" s="643"/>
      <c r="C17" s="644"/>
      <c r="D17" s="645"/>
    </row>
    <row r="18" spans="1:4" s="638" customFormat="1" ht="20.25" customHeight="1">
      <c r="A18" s="642"/>
      <c r="B18" s="643"/>
      <c r="C18" s="644"/>
      <c r="D18" s="645"/>
    </row>
    <row r="19" spans="1:4" s="638" customFormat="1" ht="20.25" customHeight="1">
      <c r="A19" s="642"/>
      <c r="B19" s="643"/>
      <c r="C19" s="644"/>
      <c r="D19" s="645"/>
    </row>
    <row r="20" spans="1:4" s="638" customFormat="1" ht="20.25" customHeight="1">
      <c r="A20" s="642"/>
      <c r="B20" s="643"/>
      <c r="C20" s="644"/>
      <c r="D20" s="645"/>
    </row>
    <row r="21" spans="1:4" s="638" customFormat="1" ht="20.25" customHeight="1">
      <c r="A21" s="642"/>
      <c r="B21" s="643"/>
      <c r="C21" s="644"/>
      <c r="D21" s="645"/>
    </row>
    <row r="22" spans="1:4" s="638" customFormat="1" ht="20.25" customHeight="1">
      <c r="A22" s="642"/>
      <c r="B22" s="643"/>
      <c r="C22" s="644"/>
      <c r="D22" s="645"/>
    </row>
    <row r="23" spans="1:4" s="638" customFormat="1" ht="20.25" customHeight="1">
      <c r="A23" s="642"/>
      <c r="B23" s="643"/>
      <c r="C23" s="644"/>
      <c r="D23" s="645"/>
    </row>
    <row r="24" spans="1:4" s="638" customFormat="1" ht="20.25" customHeight="1">
      <c r="A24" s="642"/>
      <c r="B24" s="643"/>
      <c r="C24" s="644"/>
      <c r="D24" s="645"/>
    </row>
    <row r="25" spans="1:4" s="638" customFormat="1" ht="20.25" customHeight="1">
      <c r="A25" s="642"/>
      <c r="B25" s="643"/>
      <c r="C25" s="644"/>
      <c r="D25" s="645"/>
    </row>
    <row r="26" spans="1:4" s="638" customFormat="1" ht="20.25" customHeight="1">
      <c r="A26" s="642"/>
      <c r="B26" s="643"/>
      <c r="C26" s="644"/>
      <c r="D26" s="645"/>
    </row>
    <row r="27" spans="1:4" s="638" customFormat="1" ht="20.25" customHeight="1">
      <c r="A27" s="642"/>
      <c r="B27" s="643"/>
      <c r="C27" s="644"/>
      <c r="D27" s="645"/>
    </row>
    <row r="28" spans="1:4" s="638" customFormat="1" ht="20.25" customHeight="1">
      <c r="A28" s="642"/>
      <c r="B28" s="643"/>
      <c r="C28" s="644"/>
      <c r="D28" s="645"/>
    </row>
    <row r="29" spans="1:4" s="638" customFormat="1" ht="20.25" customHeight="1">
      <c r="A29" s="642"/>
      <c r="B29" s="643"/>
      <c r="C29" s="644"/>
      <c r="D29" s="645"/>
    </row>
    <row r="30" spans="1:4" s="638" customFormat="1" ht="20.25" customHeight="1">
      <c r="A30" s="642"/>
      <c r="B30" s="643"/>
      <c r="C30" s="644"/>
      <c r="D30" s="645"/>
    </row>
    <row r="31" spans="1:4" s="638" customFormat="1" ht="20.25" customHeight="1">
      <c r="A31" s="642"/>
      <c r="B31" s="643"/>
      <c r="C31" s="644"/>
      <c r="D31" s="645"/>
    </row>
    <row r="32" spans="1:4" s="638" customFormat="1" ht="20.25" customHeight="1">
      <c r="A32" s="642"/>
      <c r="B32" s="643"/>
      <c r="C32" s="644"/>
      <c r="D32" s="645"/>
    </row>
    <row r="33" spans="1:4" s="638" customFormat="1" ht="20.25" customHeight="1">
      <c r="A33" s="642"/>
      <c r="B33" s="643"/>
      <c r="C33" s="644"/>
      <c r="D33" s="645"/>
    </row>
    <row r="34" spans="1:4" s="638" customFormat="1" ht="20.25" customHeight="1">
      <c r="A34" s="642"/>
      <c r="B34" s="643"/>
      <c r="C34" s="644"/>
      <c r="D34" s="645"/>
    </row>
    <row r="35" spans="1:4" s="638" customFormat="1" ht="20.25" customHeight="1">
      <c r="A35" s="642"/>
      <c r="B35" s="643"/>
      <c r="C35" s="644"/>
      <c r="D35" s="645"/>
    </row>
    <row r="36" spans="1:4" s="638" customFormat="1" ht="20.25" customHeight="1">
      <c r="A36" s="642"/>
      <c r="B36" s="643"/>
      <c r="C36" s="644"/>
      <c r="D36" s="645"/>
    </row>
    <row r="37" spans="1:4" s="638" customFormat="1" ht="21" customHeight="1">
      <c r="A37" s="642"/>
      <c r="B37" s="643"/>
      <c r="C37" s="644"/>
      <c r="D37" s="645"/>
    </row>
    <row r="38" spans="1:4" s="638" customFormat="1" ht="20.25" customHeight="1">
      <c r="A38" s="646"/>
      <c r="B38" s="647"/>
      <c r="C38" s="648"/>
      <c r="D38" s="649"/>
    </row>
    <row r="39" spans="1:3" ht="9" customHeight="1" thickBot="1">
      <c r="A39" s="650"/>
      <c r="C39" s="651"/>
    </row>
    <row r="40" spans="1:4" s="654" customFormat="1" ht="27" customHeight="1" thickBot="1">
      <c r="A40" s="1102" t="s">
        <v>475</v>
      </c>
      <c r="B40" s="1103"/>
      <c r="C40" s="652">
        <f>SUM(C7:C38)</f>
        <v>0</v>
      </c>
      <c r="D40" s="653">
        <v>1040</v>
      </c>
    </row>
  </sheetData>
  <sheetProtection sheet="1"/>
  <protectedRanges>
    <protectedRange sqref="A8:D38" name="Bereich1"/>
  </protectedRanges>
  <mergeCells count="2">
    <mergeCell ref="A40:B40"/>
    <mergeCell ref="C4:D4"/>
  </mergeCells>
  <printOptions/>
  <pageMargins left="0.3937007874015748" right="0.3937007874015748" top="0.3937007874015748" bottom="0.2362204724409449" header="0.3937007874015748" footer="0.03937007874015748"/>
  <pageSetup blackAndWhite="1" horizontalDpi="600" verticalDpi="600" orientation="portrait" paperSize="9" r:id="rId2"/>
  <headerFooter alignWithMargins="0">
    <oddFooter>&amp;C&amp;8(C) Lerch Treuhand AG, Itingen</oddFooter>
  </headerFooter>
  <drawing r:id="rId1"/>
</worksheet>
</file>

<file path=xl/worksheets/sheet14.xml><?xml version="1.0" encoding="utf-8"?>
<worksheet xmlns="http://schemas.openxmlformats.org/spreadsheetml/2006/main" xmlns:r="http://schemas.openxmlformats.org/officeDocument/2006/relationships">
  <sheetPr codeName="Tabelle10">
    <tabColor indexed="10"/>
  </sheetPr>
  <dimension ref="A1:G39"/>
  <sheetViews>
    <sheetView showGridLines="0" showZeros="0" zoomScale="90" zoomScaleNormal="90" zoomScalePageLayoutView="0" workbookViewId="0" topLeftCell="A1">
      <selection activeCell="K24" sqref="K24"/>
    </sheetView>
  </sheetViews>
  <sheetFormatPr defaultColWidth="11.421875" defaultRowHeight="12.75"/>
  <cols>
    <col min="1" max="1" width="3.28125" style="16" customWidth="1"/>
    <col min="2" max="2" width="16.57421875" style="0" customWidth="1"/>
    <col min="3" max="3" width="17.140625" style="0" customWidth="1"/>
    <col min="4" max="4" width="16.57421875" style="0" customWidth="1"/>
    <col min="5" max="5" width="14.7109375" style="0" customWidth="1"/>
    <col min="6" max="6" width="14.00390625" style="0" customWidth="1"/>
    <col min="7" max="7" width="14.421875" style="0" customWidth="1"/>
    <col min="8" max="8" width="15.00390625" style="0" customWidth="1"/>
  </cols>
  <sheetData>
    <row r="1" spans="1:4" ht="21.75" customHeight="1">
      <c r="A1" s="790">
        <f>DECKBLATT!B14</f>
        <v>0</v>
      </c>
      <c r="B1" s="2"/>
      <c r="C1" s="2"/>
      <c r="D1" s="2"/>
    </row>
    <row r="2" spans="3:7" ht="24" customHeight="1">
      <c r="C2" s="87"/>
      <c r="D2" s="87"/>
      <c r="E2" s="89"/>
      <c r="G2" s="15"/>
    </row>
    <row r="3" spans="1:7" ht="13.5" customHeight="1">
      <c r="A3" s="221"/>
      <c r="C3" s="87"/>
      <c r="D3" s="87"/>
      <c r="E3" s="89"/>
      <c r="G3" s="15"/>
    </row>
    <row r="4" spans="1:7" ht="26.25">
      <c r="A4" s="556" t="s">
        <v>472</v>
      </c>
      <c r="C4" s="5"/>
      <c r="D4" s="5"/>
      <c r="F4" s="957">
        <f>DECKBLATT!B11</f>
        <v>43830</v>
      </c>
      <c r="G4" s="957"/>
    </row>
    <row r="5" spans="2:4" ht="12.75">
      <c r="B5" s="6"/>
      <c r="C5" s="6"/>
      <c r="D5" s="6"/>
    </row>
    <row r="6" spans="1:4" ht="14.25">
      <c r="A6" s="22" t="s">
        <v>92</v>
      </c>
      <c r="C6" s="22"/>
      <c r="D6" s="22"/>
    </row>
    <row r="7" spans="1:4" ht="14.25">
      <c r="A7" s="22" t="s">
        <v>504</v>
      </c>
      <c r="C7" s="22"/>
      <c r="D7" s="22"/>
    </row>
    <row r="8" spans="1:4" ht="14.25">
      <c r="A8" s="793" t="s">
        <v>499</v>
      </c>
      <c r="C8" s="22"/>
      <c r="D8" s="22"/>
    </row>
    <row r="9" spans="2:4" ht="13.5" customHeight="1">
      <c r="B9" s="6"/>
      <c r="C9" s="6"/>
      <c r="D9" s="6"/>
    </row>
    <row r="10" spans="1:7" s="46" customFormat="1" ht="26.25" customHeight="1">
      <c r="A10" s="163" t="s">
        <v>471</v>
      </c>
      <c r="B10" s="163" t="s">
        <v>473</v>
      </c>
      <c r="C10" s="1108" t="s">
        <v>88</v>
      </c>
      <c r="D10" s="1109"/>
      <c r="E10" s="163" t="s">
        <v>89</v>
      </c>
      <c r="F10" s="163" t="s">
        <v>90</v>
      </c>
      <c r="G10" s="163" t="s">
        <v>91</v>
      </c>
    </row>
    <row r="11" spans="1:7" ht="20.25" customHeight="1">
      <c r="A11" s="588">
        <v>1</v>
      </c>
      <c r="B11" s="296"/>
      <c r="C11" s="1107"/>
      <c r="D11" s="1107"/>
      <c r="E11" s="297"/>
      <c r="F11" s="297"/>
      <c r="G11" s="298"/>
    </row>
    <row r="12" spans="1:7" ht="20.25" customHeight="1">
      <c r="A12" s="589">
        <v>2</v>
      </c>
      <c r="B12" s="299"/>
      <c r="C12" s="1105"/>
      <c r="D12" s="1106"/>
      <c r="E12" s="300"/>
      <c r="F12" s="300"/>
      <c r="G12" s="301"/>
    </row>
    <row r="13" spans="1:7" ht="20.25" customHeight="1">
      <c r="A13" s="589">
        <v>3</v>
      </c>
      <c r="B13" s="299"/>
      <c r="C13" s="1105"/>
      <c r="D13" s="1106"/>
      <c r="E13" s="300"/>
      <c r="F13" s="300"/>
      <c r="G13" s="301"/>
    </row>
    <row r="14" spans="1:7" ht="20.25" customHeight="1">
      <c r="A14" s="589">
        <v>4</v>
      </c>
      <c r="B14" s="299"/>
      <c r="C14" s="1105"/>
      <c r="D14" s="1106"/>
      <c r="E14" s="300"/>
      <c r="F14" s="300"/>
      <c r="G14" s="301"/>
    </row>
    <row r="15" spans="1:7" ht="20.25" customHeight="1">
      <c r="A15" s="589">
        <v>5</v>
      </c>
      <c r="B15" s="299"/>
      <c r="C15" s="1105"/>
      <c r="D15" s="1106"/>
      <c r="E15" s="300"/>
      <c r="F15" s="300"/>
      <c r="G15" s="301"/>
    </row>
    <row r="16" spans="1:7" ht="20.25" customHeight="1">
      <c r="A16" s="589">
        <v>6</v>
      </c>
      <c r="B16" s="299"/>
      <c r="C16" s="1105"/>
      <c r="D16" s="1106"/>
      <c r="E16" s="300"/>
      <c r="F16" s="300"/>
      <c r="G16" s="301"/>
    </row>
    <row r="17" spans="1:7" ht="20.25" customHeight="1">
      <c r="A17" s="589">
        <v>7</v>
      </c>
      <c r="B17" s="299"/>
      <c r="C17" s="1105"/>
      <c r="D17" s="1106"/>
      <c r="E17" s="300"/>
      <c r="F17" s="300"/>
      <c r="G17" s="301"/>
    </row>
    <row r="18" spans="1:7" ht="20.25" customHeight="1">
      <c r="A18" s="589">
        <v>8</v>
      </c>
      <c r="B18" s="299"/>
      <c r="C18" s="1105"/>
      <c r="D18" s="1106"/>
      <c r="E18" s="300"/>
      <c r="F18" s="300"/>
      <c r="G18" s="301"/>
    </row>
    <row r="19" spans="1:7" ht="20.25" customHeight="1">
      <c r="A19" s="589">
        <v>9</v>
      </c>
      <c r="B19" s="299"/>
      <c r="C19" s="1105"/>
      <c r="D19" s="1106"/>
      <c r="E19" s="300"/>
      <c r="F19" s="300"/>
      <c r="G19" s="301"/>
    </row>
    <row r="20" spans="1:7" ht="20.25" customHeight="1">
      <c r="A20" s="589">
        <v>10</v>
      </c>
      <c r="B20" s="299"/>
      <c r="C20" s="1105"/>
      <c r="D20" s="1106"/>
      <c r="E20" s="300"/>
      <c r="F20" s="300"/>
      <c r="G20" s="301"/>
    </row>
    <row r="21" spans="1:7" ht="20.25" customHeight="1">
      <c r="A21" s="589">
        <v>11</v>
      </c>
      <c r="B21" s="299"/>
      <c r="C21" s="1105"/>
      <c r="D21" s="1106"/>
      <c r="E21" s="300"/>
      <c r="F21" s="300"/>
      <c r="G21" s="301"/>
    </row>
    <row r="22" spans="1:7" ht="20.25" customHeight="1">
      <c r="A22" s="589">
        <v>12</v>
      </c>
      <c r="B22" s="299"/>
      <c r="C22" s="1105"/>
      <c r="D22" s="1106"/>
      <c r="E22" s="300"/>
      <c r="F22" s="300"/>
      <c r="G22" s="301"/>
    </row>
    <row r="23" spans="1:7" ht="20.25" customHeight="1">
      <c r="A23" s="589">
        <v>13</v>
      </c>
      <c r="B23" s="299"/>
      <c r="C23" s="1105"/>
      <c r="D23" s="1106"/>
      <c r="E23" s="300"/>
      <c r="F23" s="300"/>
      <c r="G23" s="301"/>
    </row>
    <row r="24" spans="1:7" ht="20.25" customHeight="1">
      <c r="A24" s="589">
        <v>14</v>
      </c>
      <c r="B24" s="299"/>
      <c r="C24" s="1105"/>
      <c r="D24" s="1106"/>
      <c r="E24" s="300"/>
      <c r="F24" s="300"/>
      <c r="G24" s="301"/>
    </row>
    <row r="25" spans="1:7" ht="20.25" customHeight="1">
      <c r="A25" s="589">
        <v>15</v>
      </c>
      <c r="B25" s="299"/>
      <c r="C25" s="1105"/>
      <c r="D25" s="1106"/>
      <c r="E25" s="300"/>
      <c r="F25" s="300"/>
      <c r="G25" s="301"/>
    </row>
    <row r="26" spans="1:7" ht="20.25" customHeight="1">
      <c r="A26" s="589">
        <v>16</v>
      </c>
      <c r="B26" s="299"/>
      <c r="C26" s="1105"/>
      <c r="D26" s="1106"/>
      <c r="E26" s="300"/>
      <c r="F26" s="300"/>
      <c r="G26" s="301"/>
    </row>
    <row r="27" spans="1:7" ht="20.25" customHeight="1">
      <c r="A27" s="589">
        <v>17</v>
      </c>
      <c r="B27" s="299"/>
      <c r="C27" s="1105"/>
      <c r="D27" s="1106"/>
      <c r="E27" s="300"/>
      <c r="F27" s="300"/>
      <c r="G27" s="301"/>
    </row>
    <row r="28" spans="1:7" ht="20.25" customHeight="1">
      <c r="A28" s="589">
        <v>18</v>
      </c>
      <c r="B28" s="299"/>
      <c r="C28" s="1105"/>
      <c r="D28" s="1106"/>
      <c r="E28" s="300"/>
      <c r="F28" s="300"/>
      <c r="G28" s="301"/>
    </row>
    <row r="29" spans="1:7" ht="20.25" customHeight="1">
      <c r="A29" s="589">
        <v>19</v>
      </c>
      <c r="B29" s="299"/>
      <c r="C29" s="1105"/>
      <c r="D29" s="1106"/>
      <c r="E29" s="300"/>
      <c r="F29" s="300"/>
      <c r="G29" s="301"/>
    </row>
    <row r="30" spans="1:7" ht="20.25" customHeight="1">
      <c r="A30" s="589">
        <v>20</v>
      </c>
      <c r="B30" s="299"/>
      <c r="C30" s="1105"/>
      <c r="D30" s="1106"/>
      <c r="E30" s="300"/>
      <c r="F30" s="300"/>
      <c r="G30" s="301"/>
    </row>
    <row r="31" spans="1:7" ht="20.25" customHeight="1">
      <c r="A31" s="589">
        <v>21</v>
      </c>
      <c r="B31" s="299"/>
      <c r="C31" s="1105"/>
      <c r="D31" s="1106"/>
      <c r="E31" s="300"/>
      <c r="F31" s="300"/>
      <c r="G31" s="301"/>
    </row>
    <row r="32" spans="1:7" ht="20.25" customHeight="1">
      <c r="A32" s="589">
        <v>22</v>
      </c>
      <c r="B32" s="299"/>
      <c r="C32" s="1105"/>
      <c r="D32" s="1106"/>
      <c r="E32" s="300"/>
      <c r="F32" s="300"/>
      <c r="G32" s="301"/>
    </row>
    <row r="33" spans="1:7" ht="20.25" customHeight="1">
      <c r="A33" s="589">
        <v>23</v>
      </c>
      <c r="B33" s="299"/>
      <c r="C33" s="1105"/>
      <c r="D33" s="1106"/>
      <c r="E33" s="300"/>
      <c r="F33" s="300"/>
      <c r="G33" s="301"/>
    </row>
    <row r="34" spans="1:7" ht="20.25" customHeight="1">
      <c r="A34" s="589">
        <v>24</v>
      </c>
      <c r="B34" s="299"/>
      <c r="C34" s="586"/>
      <c r="D34" s="587"/>
      <c r="E34" s="300"/>
      <c r="F34" s="300"/>
      <c r="G34" s="301"/>
    </row>
    <row r="35" spans="1:7" ht="20.25" customHeight="1">
      <c r="A35" s="590">
        <v>25</v>
      </c>
      <c r="B35" s="299"/>
      <c r="C35" s="1105"/>
      <c r="D35" s="1106"/>
      <c r="E35" s="300"/>
      <c r="F35" s="300"/>
      <c r="G35" s="301"/>
    </row>
    <row r="36" spans="1:7" s="143" customFormat="1" ht="10.5" customHeight="1" thickBot="1">
      <c r="A36" s="146"/>
      <c r="B36" s="139"/>
      <c r="C36" s="140"/>
      <c r="D36" s="140"/>
      <c r="E36" s="141"/>
      <c r="F36" s="141"/>
      <c r="G36" s="142"/>
    </row>
    <row r="37" spans="1:7" ht="21.75" customHeight="1" thickBot="1">
      <c r="A37" s="583"/>
      <c r="B37" s="584" t="s">
        <v>37</v>
      </c>
      <c r="C37" s="193"/>
      <c r="D37" s="193"/>
      <c r="E37" s="193"/>
      <c r="F37" s="193"/>
      <c r="G37" s="585">
        <f>SUM(G11:G35)</f>
        <v>0</v>
      </c>
    </row>
    <row r="38" spans="1:7" s="138" customFormat="1" ht="33" customHeight="1" thickBot="1">
      <c r="A38" s="582"/>
      <c r="B38" s="135"/>
      <c r="C38" s="136"/>
      <c r="D38" s="136"/>
      <c r="E38" s="136"/>
      <c r="F38" s="136"/>
      <c r="G38" s="137"/>
    </row>
    <row r="39" spans="1:7" s="18" customFormat="1" ht="20.25" customHeight="1" thickBot="1">
      <c r="A39" s="46"/>
      <c r="B39" s="1100" t="s">
        <v>470</v>
      </c>
      <c r="C39" s="1101"/>
      <c r="D39" s="1101"/>
      <c r="E39" s="1101"/>
      <c r="F39" s="1110"/>
      <c r="G39" s="1111"/>
    </row>
  </sheetData>
  <sheetProtection sheet="1"/>
  <mergeCells count="28">
    <mergeCell ref="C22:D22"/>
    <mergeCell ref="C23:D23"/>
    <mergeCell ref="C24:D24"/>
    <mergeCell ref="C25:D25"/>
    <mergeCell ref="C28:D28"/>
    <mergeCell ref="F39:G39"/>
    <mergeCell ref="C32:D32"/>
    <mergeCell ref="C33:D33"/>
    <mergeCell ref="C13:D13"/>
    <mergeCell ref="C10:D10"/>
    <mergeCell ref="C19:D19"/>
    <mergeCell ref="C31:D31"/>
    <mergeCell ref="C20:D20"/>
    <mergeCell ref="C21:D21"/>
    <mergeCell ref="C29:D29"/>
    <mergeCell ref="C30:D30"/>
    <mergeCell ref="C26:D26"/>
    <mergeCell ref="C27:D27"/>
    <mergeCell ref="F4:G4"/>
    <mergeCell ref="B39:E39"/>
    <mergeCell ref="C18:D18"/>
    <mergeCell ref="C35:D35"/>
    <mergeCell ref="C14:D14"/>
    <mergeCell ref="C15:D15"/>
    <mergeCell ref="C16:D16"/>
    <mergeCell ref="C17:D17"/>
    <mergeCell ref="C11:D11"/>
    <mergeCell ref="C12:D12"/>
  </mergeCells>
  <printOptions/>
  <pageMargins left="0.3937007874015748" right="0.4330708661417323" top="0.3937007874015748" bottom="0.03937007874015748" header="0.3937007874015748" footer="0.2362204724409449"/>
  <pageSetup blackAndWhite="1" horizontalDpi="600" verticalDpi="600" orientation="portrait" paperSize="9" r:id="rId2"/>
  <headerFooter alignWithMargins="0">
    <oddFooter>&amp;C&amp;8(C) Lerch Treuhand AG, Itingen</oddFooter>
  </headerFooter>
  <drawing r:id="rId1"/>
</worksheet>
</file>

<file path=xl/worksheets/sheet15.xml><?xml version="1.0" encoding="utf-8"?>
<worksheet xmlns="http://schemas.openxmlformats.org/spreadsheetml/2006/main" xmlns:r="http://schemas.openxmlformats.org/officeDocument/2006/relationships">
  <sheetPr codeName="Tabelle11">
    <tabColor indexed="10"/>
  </sheetPr>
  <dimension ref="A1:D40"/>
  <sheetViews>
    <sheetView showGridLines="0" showZeros="0" zoomScale="90" zoomScaleNormal="90" zoomScalePageLayoutView="0" workbookViewId="0" topLeftCell="A1">
      <selection activeCell="J18" sqref="J18"/>
    </sheetView>
  </sheetViews>
  <sheetFormatPr defaultColWidth="11.421875" defaultRowHeight="12.75"/>
  <cols>
    <col min="1" max="1" width="32.421875" style="624" customWidth="1"/>
    <col min="2" max="2" width="37.8515625" style="624" customWidth="1"/>
    <col min="3" max="3" width="15.7109375" style="624" customWidth="1"/>
    <col min="4" max="4" width="10.8515625" style="624" customWidth="1"/>
    <col min="5" max="16384" width="11.421875" style="624" customWidth="1"/>
  </cols>
  <sheetData>
    <row r="1" ht="23.25">
      <c r="A1" s="791">
        <f>DECKBLATT!B14</f>
        <v>0</v>
      </c>
    </row>
    <row r="2" spans="2:3" ht="16.5" customHeight="1">
      <c r="B2" s="625"/>
      <c r="C2" s="625"/>
    </row>
    <row r="3" spans="1:4" ht="12" customHeight="1">
      <c r="A3" s="655"/>
      <c r="D3" s="627"/>
    </row>
    <row r="4" spans="1:4" ht="33" customHeight="1">
      <c r="A4" s="628" t="s">
        <v>485</v>
      </c>
      <c r="C4" s="1104">
        <f>DECKBLATT!B11</f>
        <v>43830</v>
      </c>
      <c r="D4" s="1104"/>
    </row>
    <row r="5" ht="12" customHeight="1">
      <c r="A5" s="629"/>
    </row>
    <row r="6" spans="1:4" s="633" customFormat="1" ht="24.75" customHeight="1">
      <c r="A6" s="656" t="s">
        <v>93</v>
      </c>
      <c r="B6" s="656" t="s">
        <v>94</v>
      </c>
      <c r="C6" s="657" t="s">
        <v>83</v>
      </c>
      <c r="D6" s="658" t="s">
        <v>84</v>
      </c>
    </row>
    <row r="7" spans="1:4" ht="20.25" customHeight="1">
      <c r="A7" s="659"/>
      <c r="B7" s="660"/>
      <c r="C7" s="661"/>
      <c r="D7" s="662"/>
    </row>
    <row r="8" spans="1:4" ht="20.25" customHeight="1">
      <c r="A8" s="642"/>
      <c r="B8" s="643"/>
      <c r="C8" s="644"/>
      <c r="D8" s="645"/>
    </row>
    <row r="9" spans="1:4" ht="20.25" customHeight="1">
      <c r="A9" s="642"/>
      <c r="B9" s="643"/>
      <c r="C9" s="644"/>
      <c r="D9" s="645"/>
    </row>
    <row r="10" spans="1:4" ht="20.25" customHeight="1">
      <c r="A10" s="642"/>
      <c r="B10" s="643"/>
      <c r="C10" s="644"/>
      <c r="D10" s="645"/>
    </row>
    <row r="11" spans="1:4" ht="20.25" customHeight="1">
      <c r="A11" s="642"/>
      <c r="B11" s="643"/>
      <c r="C11" s="644"/>
      <c r="D11" s="645"/>
    </row>
    <row r="12" spans="1:4" ht="20.25" customHeight="1">
      <c r="A12" s="642"/>
      <c r="B12" s="643"/>
      <c r="C12" s="644"/>
      <c r="D12" s="645"/>
    </row>
    <row r="13" spans="1:4" ht="20.25" customHeight="1">
      <c r="A13" s="642"/>
      <c r="B13" s="643"/>
      <c r="C13" s="644"/>
      <c r="D13" s="645"/>
    </row>
    <row r="14" spans="1:4" ht="20.25" customHeight="1">
      <c r="A14" s="642"/>
      <c r="B14" s="643"/>
      <c r="C14" s="644"/>
      <c r="D14" s="645"/>
    </row>
    <row r="15" spans="1:4" ht="20.25" customHeight="1">
      <c r="A15" s="642"/>
      <c r="B15" s="643"/>
      <c r="C15" s="644"/>
      <c r="D15" s="645"/>
    </row>
    <row r="16" spans="1:4" ht="20.25" customHeight="1">
      <c r="A16" s="642"/>
      <c r="B16" s="643"/>
      <c r="C16" s="644"/>
      <c r="D16" s="645"/>
    </row>
    <row r="17" spans="1:4" ht="20.25" customHeight="1">
      <c r="A17" s="642"/>
      <c r="B17" s="643"/>
      <c r="C17" s="644"/>
      <c r="D17" s="645"/>
    </row>
    <row r="18" spans="1:4" ht="20.25" customHeight="1">
      <c r="A18" s="642"/>
      <c r="B18" s="643"/>
      <c r="C18" s="644"/>
      <c r="D18" s="645"/>
    </row>
    <row r="19" spans="1:4" ht="20.25" customHeight="1">
      <c r="A19" s="642"/>
      <c r="B19" s="643"/>
      <c r="C19" s="644"/>
      <c r="D19" s="645"/>
    </row>
    <row r="20" spans="1:4" ht="20.25" customHeight="1">
      <c r="A20" s="642"/>
      <c r="B20" s="643"/>
      <c r="C20" s="644"/>
      <c r="D20" s="645"/>
    </row>
    <row r="21" spans="1:4" ht="20.25" customHeight="1">
      <c r="A21" s="642"/>
      <c r="B21" s="643"/>
      <c r="C21" s="644"/>
      <c r="D21" s="645"/>
    </row>
    <row r="22" spans="1:4" ht="20.25" customHeight="1">
      <c r="A22" s="642"/>
      <c r="B22" s="643"/>
      <c r="C22" s="644"/>
      <c r="D22" s="645"/>
    </row>
    <row r="23" spans="1:4" ht="20.25" customHeight="1">
      <c r="A23" s="642"/>
      <c r="B23" s="643"/>
      <c r="C23" s="644"/>
      <c r="D23" s="645"/>
    </row>
    <row r="24" spans="1:4" ht="20.25" customHeight="1">
      <c r="A24" s="642"/>
      <c r="B24" s="643"/>
      <c r="C24" s="644"/>
      <c r="D24" s="645"/>
    </row>
    <row r="25" spans="1:4" ht="20.25" customHeight="1">
      <c r="A25" s="642"/>
      <c r="B25" s="643"/>
      <c r="C25" s="644"/>
      <c r="D25" s="645"/>
    </row>
    <row r="26" spans="1:4" ht="20.25" customHeight="1">
      <c r="A26" s="642"/>
      <c r="B26" s="643"/>
      <c r="C26" s="644"/>
      <c r="D26" s="645"/>
    </row>
    <row r="27" spans="1:4" ht="20.25" customHeight="1">
      <c r="A27" s="642"/>
      <c r="B27" s="643"/>
      <c r="C27" s="644"/>
      <c r="D27" s="645"/>
    </row>
    <row r="28" spans="1:4" ht="20.25" customHeight="1">
      <c r="A28" s="642"/>
      <c r="B28" s="643"/>
      <c r="C28" s="644"/>
      <c r="D28" s="645"/>
    </row>
    <row r="29" spans="1:4" ht="20.25" customHeight="1">
      <c r="A29" s="642"/>
      <c r="B29" s="643"/>
      <c r="C29" s="644"/>
      <c r="D29" s="645"/>
    </row>
    <row r="30" spans="1:4" ht="20.25" customHeight="1">
      <c r="A30" s="642"/>
      <c r="B30" s="643"/>
      <c r="C30" s="644"/>
      <c r="D30" s="645"/>
    </row>
    <row r="31" spans="1:4" ht="20.25" customHeight="1">
      <c r="A31" s="642"/>
      <c r="B31" s="643"/>
      <c r="C31" s="644"/>
      <c r="D31" s="645"/>
    </row>
    <row r="32" spans="1:4" ht="20.25" customHeight="1">
      <c r="A32" s="642"/>
      <c r="B32" s="643"/>
      <c r="C32" s="644"/>
      <c r="D32" s="645"/>
    </row>
    <row r="33" spans="1:4" ht="20.25" customHeight="1">
      <c r="A33" s="642"/>
      <c r="B33" s="643"/>
      <c r="C33" s="644"/>
      <c r="D33" s="645"/>
    </row>
    <row r="34" spans="1:4" ht="20.25" customHeight="1">
      <c r="A34" s="642"/>
      <c r="B34" s="643"/>
      <c r="C34" s="644"/>
      <c r="D34" s="645"/>
    </row>
    <row r="35" spans="1:4" ht="20.25" customHeight="1">
      <c r="A35" s="642"/>
      <c r="B35" s="643"/>
      <c r="C35" s="644"/>
      <c r="D35" s="645"/>
    </row>
    <row r="36" spans="1:4" ht="20.25" customHeight="1">
      <c r="A36" s="642"/>
      <c r="B36" s="643"/>
      <c r="C36" s="644"/>
      <c r="D36" s="645"/>
    </row>
    <row r="37" spans="1:4" ht="21" customHeight="1">
      <c r="A37" s="642"/>
      <c r="B37" s="643"/>
      <c r="C37" s="644"/>
      <c r="D37" s="645"/>
    </row>
    <row r="38" spans="1:4" ht="20.25" customHeight="1">
      <c r="A38" s="646"/>
      <c r="B38" s="647"/>
      <c r="C38" s="648"/>
      <c r="D38" s="649"/>
    </row>
    <row r="39" spans="1:3" ht="9" customHeight="1" thickBot="1">
      <c r="A39" s="650"/>
      <c r="C39" s="651"/>
    </row>
    <row r="40" spans="1:4" s="654" customFormat="1" ht="23.25" customHeight="1" thickBot="1">
      <c r="A40" s="1102" t="s">
        <v>85</v>
      </c>
      <c r="B40" s="1103"/>
      <c r="C40" s="652">
        <f>SUM(C7:C38)</f>
        <v>0</v>
      </c>
      <c r="D40" s="653">
        <v>2000</v>
      </c>
    </row>
  </sheetData>
  <sheetProtection sheet="1"/>
  <protectedRanges>
    <protectedRange sqref="A7: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6.xml><?xml version="1.0" encoding="utf-8"?>
<worksheet xmlns="http://schemas.openxmlformats.org/spreadsheetml/2006/main" xmlns:r="http://schemas.openxmlformats.org/officeDocument/2006/relationships">
  <sheetPr codeName="Tabelle23">
    <tabColor indexed="10"/>
  </sheetPr>
  <dimension ref="A1:D40"/>
  <sheetViews>
    <sheetView showGridLines="0" showZeros="0" zoomScale="90" zoomScaleNormal="90" zoomScalePageLayoutView="0" workbookViewId="0" topLeftCell="A1">
      <selection activeCell="G21" sqref="G21"/>
    </sheetView>
  </sheetViews>
  <sheetFormatPr defaultColWidth="11.421875" defaultRowHeight="12.75"/>
  <cols>
    <col min="1" max="1" width="32.421875" style="624" customWidth="1"/>
    <col min="2" max="2" width="37.8515625" style="624" customWidth="1"/>
    <col min="3" max="3" width="15.7109375" style="624" customWidth="1"/>
    <col min="4" max="4" width="10.8515625" style="624" customWidth="1"/>
    <col min="5" max="16384" width="11.421875" style="624" customWidth="1"/>
  </cols>
  <sheetData>
    <row r="1" ht="23.25">
      <c r="A1" s="791">
        <f>DECKBLATT!B14</f>
        <v>0</v>
      </c>
    </row>
    <row r="2" spans="2:3" ht="16.5" customHeight="1">
      <c r="B2" s="625"/>
      <c r="C2" s="625"/>
    </row>
    <row r="3" spans="1:4" ht="18.75" customHeight="1">
      <c r="A3" s="626" t="s">
        <v>474</v>
      </c>
      <c r="D3" s="627"/>
    </row>
    <row r="4" spans="1:4" ht="33" customHeight="1">
      <c r="A4" s="628" t="s">
        <v>485</v>
      </c>
      <c r="C4" s="1104">
        <f>DECKBLATT!B11</f>
        <v>43830</v>
      </c>
      <c r="D4" s="1104"/>
    </row>
    <row r="5" ht="12" customHeight="1">
      <c r="A5" s="629"/>
    </row>
    <row r="6" spans="1:4" s="633" customFormat="1" ht="24.75" customHeight="1" thickBot="1">
      <c r="A6" s="656" t="s">
        <v>93</v>
      </c>
      <c r="B6" s="656" t="s">
        <v>94</v>
      </c>
      <c r="C6" s="657" t="s">
        <v>83</v>
      </c>
      <c r="D6" s="658" t="s">
        <v>84</v>
      </c>
    </row>
    <row r="7" spans="1:4" ht="20.25" customHeight="1" thickBot="1">
      <c r="A7" s="634"/>
      <c r="B7" s="635" t="s">
        <v>476</v>
      </c>
      <c r="C7" s="636">
        <f>Kreditoren!C40</f>
        <v>0</v>
      </c>
      <c r="D7" s="637"/>
    </row>
    <row r="8" spans="1:4" ht="20.25" customHeight="1">
      <c r="A8" s="642"/>
      <c r="B8" s="643"/>
      <c r="C8" s="644"/>
      <c r="D8" s="645"/>
    </row>
    <row r="9" spans="1:4" ht="20.25" customHeight="1">
      <c r="A9" s="642"/>
      <c r="B9" s="643"/>
      <c r="C9" s="644"/>
      <c r="D9" s="645"/>
    </row>
    <row r="10" spans="1:4" ht="20.25" customHeight="1">
      <c r="A10" s="642"/>
      <c r="B10" s="643"/>
      <c r="C10" s="644"/>
      <c r="D10" s="645"/>
    </row>
    <row r="11" spans="1:4" ht="20.25" customHeight="1">
      <c r="A11" s="642"/>
      <c r="B11" s="643"/>
      <c r="C11" s="644"/>
      <c r="D11" s="645"/>
    </row>
    <row r="12" spans="1:4" ht="20.25" customHeight="1">
      <c r="A12" s="642"/>
      <c r="B12" s="643"/>
      <c r="C12" s="644"/>
      <c r="D12" s="645"/>
    </row>
    <row r="13" spans="1:4" ht="20.25" customHeight="1">
      <c r="A13" s="642"/>
      <c r="B13" s="643"/>
      <c r="C13" s="644"/>
      <c r="D13" s="645"/>
    </row>
    <row r="14" spans="1:4" ht="20.25" customHeight="1">
      <c r="A14" s="642"/>
      <c r="B14" s="643"/>
      <c r="C14" s="644"/>
      <c r="D14" s="645"/>
    </row>
    <row r="15" spans="1:4" ht="20.25" customHeight="1">
      <c r="A15" s="642"/>
      <c r="B15" s="643"/>
      <c r="C15" s="644"/>
      <c r="D15" s="645"/>
    </row>
    <row r="16" spans="1:4" ht="20.25" customHeight="1">
      <c r="A16" s="642"/>
      <c r="B16" s="643"/>
      <c r="C16" s="644"/>
      <c r="D16" s="645"/>
    </row>
    <row r="17" spans="1:4" ht="20.25" customHeight="1">
      <c r="A17" s="642"/>
      <c r="B17" s="643"/>
      <c r="C17" s="644"/>
      <c r="D17" s="645"/>
    </row>
    <row r="18" spans="1:4" ht="20.25" customHeight="1">
      <c r="A18" s="642"/>
      <c r="B18" s="643"/>
      <c r="C18" s="644"/>
      <c r="D18" s="645"/>
    </row>
    <row r="19" spans="1:4" ht="20.25" customHeight="1">
      <c r="A19" s="642"/>
      <c r="B19" s="643"/>
      <c r="C19" s="644"/>
      <c r="D19" s="645"/>
    </row>
    <row r="20" spans="1:4" ht="20.25" customHeight="1">
      <c r="A20" s="642"/>
      <c r="B20" s="643"/>
      <c r="C20" s="644"/>
      <c r="D20" s="645"/>
    </row>
    <row r="21" spans="1:4" ht="20.25" customHeight="1">
      <c r="A21" s="642"/>
      <c r="B21" s="643"/>
      <c r="C21" s="644"/>
      <c r="D21" s="645"/>
    </row>
    <row r="22" spans="1:4" ht="20.25" customHeight="1">
      <c r="A22" s="642"/>
      <c r="B22" s="643"/>
      <c r="C22" s="644"/>
      <c r="D22" s="645"/>
    </row>
    <row r="23" spans="1:4" ht="20.25" customHeight="1">
      <c r="A23" s="642"/>
      <c r="B23" s="643"/>
      <c r="C23" s="644"/>
      <c r="D23" s="645"/>
    </row>
    <row r="24" spans="1:4" ht="20.25" customHeight="1">
      <c r="A24" s="642"/>
      <c r="B24" s="643"/>
      <c r="C24" s="644"/>
      <c r="D24" s="645"/>
    </row>
    <row r="25" spans="1:4" ht="20.25" customHeight="1">
      <c r="A25" s="642"/>
      <c r="B25" s="643"/>
      <c r="C25" s="644"/>
      <c r="D25" s="645"/>
    </row>
    <row r="26" spans="1:4" ht="20.25" customHeight="1">
      <c r="A26" s="642"/>
      <c r="B26" s="643"/>
      <c r="C26" s="644"/>
      <c r="D26" s="645"/>
    </row>
    <row r="27" spans="1:4" ht="20.25" customHeight="1">
      <c r="A27" s="642"/>
      <c r="B27" s="643"/>
      <c r="C27" s="644"/>
      <c r="D27" s="645"/>
    </row>
    <row r="28" spans="1:4" ht="20.25" customHeight="1">
      <c r="A28" s="642"/>
      <c r="B28" s="643"/>
      <c r="C28" s="644"/>
      <c r="D28" s="645"/>
    </row>
    <row r="29" spans="1:4" ht="20.25" customHeight="1">
      <c r="A29" s="642"/>
      <c r="B29" s="643"/>
      <c r="C29" s="644"/>
      <c r="D29" s="645"/>
    </row>
    <row r="30" spans="1:4" ht="20.25" customHeight="1">
      <c r="A30" s="642"/>
      <c r="B30" s="643"/>
      <c r="C30" s="644"/>
      <c r="D30" s="645"/>
    </row>
    <row r="31" spans="1:4" ht="20.25" customHeight="1">
      <c r="A31" s="642"/>
      <c r="B31" s="643"/>
      <c r="C31" s="644"/>
      <c r="D31" s="645"/>
    </row>
    <row r="32" spans="1:4" ht="20.25" customHeight="1">
      <c r="A32" s="642"/>
      <c r="B32" s="643"/>
      <c r="C32" s="644"/>
      <c r="D32" s="645"/>
    </row>
    <row r="33" spans="1:4" ht="20.25" customHeight="1">
      <c r="A33" s="642"/>
      <c r="B33" s="643"/>
      <c r="C33" s="644"/>
      <c r="D33" s="645"/>
    </row>
    <row r="34" spans="1:4" ht="20.25" customHeight="1">
      <c r="A34" s="642"/>
      <c r="B34" s="643"/>
      <c r="C34" s="644"/>
      <c r="D34" s="645"/>
    </row>
    <row r="35" spans="1:4" ht="20.25" customHeight="1">
      <c r="A35" s="642"/>
      <c r="B35" s="643"/>
      <c r="C35" s="644"/>
      <c r="D35" s="645"/>
    </row>
    <row r="36" spans="1:4" ht="20.25" customHeight="1">
      <c r="A36" s="642"/>
      <c r="B36" s="643"/>
      <c r="C36" s="644"/>
      <c r="D36" s="645"/>
    </row>
    <row r="37" spans="1:4" ht="21" customHeight="1">
      <c r="A37" s="642"/>
      <c r="B37" s="643"/>
      <c r="C37" s="644"/>
      <c r="D37" s="645"/>
    </row>
    <row r="38" spans="1:4" ht="20.25" customHeight="1">
      <c r="A38" s="646"/>
      <c r="B38" s="647"/>
      <c r="C38" s="648"/>
      <c r="D38" s="649"/>
    </row>
    <row r="39" spans="1:3" ht="11.25" customHeight="1" thickBot="1">
      <c r="A39" s="650"/>
      <c r="C39" s="651"/>
    </row>
    <row r="40" spans="1:4" s="654" customFormat="1" ht="23.25" customHeight="1" thickBot="1">
      <c r="A40" s="1102" t="s">
        <v>475</v>
      </c>
      <c r="B40" s="1103"/>
      <c r="C40" s="652">
        <f>SUM(C7:C38)</f>
        <v>0</v>
      </c>
      <c r="D40" s="653">
        <v>2000</v>
      </c>
    </row>
  </sheetData>
  <sheetProtection sheet="1"/>
  <protectedRanges>
    <protectedRange sqref="A8:D38" name="Bereich1"/>
  </protectedRanges>
  <mergeCells count="2">
    <mergeCell ref="A40:B40"/>
    <mergeCell ref="C4:D4"/>
  </mergeCells>
  <printOptions/>
  <pageMargins left="0.5118110236220472" right="0.2362204724409449" top="0.3937007874015748" bottom="0.2362204724409449" header="0.31496062992125984" footer="0.15748031496062992"/>
  <pageSetup blackAndWhite="1" horizontalDpi="600" verticalDpi="600" orientation="portrait" paperSize="9" r:id="rId2"/>
  <headerFooter alignWithMargins="0">
    <oddFooter>&amp;C&amp;8(C) Lerch Treuhand AG, Itingen</oddFooter>
  </headerFooter>
  <drawing r:id="rId1"/>
</worksheet>
</file>

<file path=xl/worksheets/sheet17.xml><?xml version="1.0" encoding="utf-8"?>
<worksheet xmlns="http://schemas.openxmlformats.org/spreadsheetml/2006/main" xmlns:r="http://schemas.openxmlformats.org/officeDocument/2006/relationships">
  <sheetPr codeName="Tabelle12">
    <tabColor indexed="10"/>
  </sheetPr>
  <dimension ref="A1:G40"/>
  <sheetViews>
    <sheetView showGridLines="0" showZeros="0" zoomScale="90" zoomScaleNormal="90" zoomScalePageLayoutView="0" workbookViewId="0" topLeftCell="A1">
      <selection activeCell="J20" sqref="J20"/>
    </sheetView>
  </sheetViews>
  <sheetFormatPr defaultColWidth="11.421875" defaultRowHeight="12.75"/>
  <cols>
    <col min="1" max="1" width="12.8515625" style="0" customWidth="1"/>
    <col min="2" max="2" width="17.140625" style="0" customWidth="1"/>
    <col min="3" max="3" width="7.140625" style="0" customWidth="1"/>
    <col min="4" max="4" width="14.00390625" style="0" customWidth="1"/>
    <col min="5" max="5" width="15.140625" style="0" customWidth="1"/>
    <col min="6" max="7" width="15.421875" style="0" customWidth="1"/>
    <col min="8" max="8" width="15.00390625" style="0" customWidth="1"/>
  </cols>
  <sheetData>
    <row r="1" spans="1:4" ht="21.75" customHeight="1">
      <c r="A1" s="790">
        <f>DECKBLATT!B14</f>
        <v>0</v>
      </c>
      <c r="B1" s="2"/>
      <c r="C1" s="2"/>
      <c r="D1" s="2"/>
    </row>
    <row r="2" spans="2:7" ht="28.5" customHeight="1">
      <c r="B2" s="221"/>
      <c r="C2" s="221"/>
      <c r="D2" s="221"/>
      <c r="E2" s="221"/>
      <c r="G2" s="15"/>
    </row>
    <row r="3" spans="1:4" ht="18">
      <c r="A3" s="5"/>
      <c r="B3" s="5"/>
      <c r="C3" s="5"/>
      <c r="D3" s="5"/>
    </row>
    <row r="4" spans="1:4" ht="14.25" customHeight="1">
      <c r="A4" s="6"/>
      <c r="B4" s="6"/>
      <c r="C4" s="6"/>
      <c r="D4" s="6"/>
    </row>
    <row r="5" spans="1:7" ht="26.25">
      <c r="A5" s="556" t="s">
        <v>481</v>
      </c>
      <c r="B5" s="5"/>
      <c r="C5" s="5"/>
      <c r="D5" s="5"/>
      <c r="F5" s="957">
        <f>DECKBLATT!B11</f>
        <v>43830</v>
      </c>
      <c r="G5" s="957"/>
    </row>
    <row r="6" spans="1:4" ht="12.75">
      <c r="A6" s="6"/>
      <c r="B6" s="6"/>
      <c r="C6" s="6"/>
      <c r="D6" s="6"/>
    </row>
    <row r="7" spans="1:7" ht="20.25" customHeight="1">
      <c r="A7" s="1120" t="s">
        <v>95</v>
      </c>
      <c r="B7" s="1121"/>
      <c r="C7" s="1118" t="s">
        <v>100</v>
      </c>
      <c r="D7" s="1118" t="s">
        <v>96</v>
      </c>
      <c r="E7" s="1118" t="s">
        <v>97</v>
      </c>
      <c r="F7" s="1118" t="s">
        <v>98</v>
      </c>
      <c r="G7" s="1118" t="s">
        <v>99</v>
      </c>
    </row>
    <row r="8" spans="1:7" ht="21" customHeight="1">
      <c r="A8" s="1122"/>
      <c r="B8" s="1123"/>
      <c r="C8" s="1119"/>
      <c r="D8" s="1119"/>
      <c r="E8" s="1119"/>
      <c r="F8" s="1119"/>
      <c r="G8" s="1119"/>
    </row>
    <row r="9" spans="1:7" s="51" customFormat="1" ht="21" customHeight="1" thickBot="1">
      <c r="A9" s="594"/>
      <c r="B9" s="594"/>
      <c r="C9" s="594"/>
      <c r="D9" s="594"/>
      <c r="E9" s="594"/>
      <c r="F9" s="594"/>
      <c r="G9" s="595"/>
    </row>
    <row r="10" spans="1:7" ht="15.75" thickBot="1">
      <c r="A10" s="1116" t="s">
        <v>477</v>
      </c>
      <c r="B10" s="1117"/>
      <c r="C10" s="601"/>
      <c r="D10" s="601"/>
      <c r="E10" s="601"/>
      <c r="F10" s="601"/>
      <c r="G10" s="602"/>
    </row>
    <row r="11" spans="1:7" ht="6" customHeight="1">
      <c r="A11" s="603"/>
      <c r="B11" s="578"/>
      <c r="C11" s="594"/>
      <c r="D11" s="594"/>
      <c r="E11" s="594"/>
      <c r="F11" s="594"/>
      <c r="G11" s="604"/>
    </row>
    <row r="12" spans="1:7" s="18" customFormat="1" ht="20.25" customHeight="1">
      <c r="A12" s="1112"/>
      <c r="B12" s="1113"/>
      <c r="C12" s="302"/>
      <c r="D12" s="303"/>
      <c r="E12" s="303"/>
      <c r="F12" s="303"/>
      <c r="G12" s="605">
        <f>D12+E12-F12</f>
        <v>0</v>
      </c>
    </row>
    <row r="13" spans="1:7" s="18" customFormat="1" ht="20.25" customHeight="1">
      <c r="A13" s="1124"/>
      <c r="B13" s="1125"/>
      <c r="C13" s="304"/>
      <c r="D13" s="305"/>
      <c r="E13" s="305"/>
      <c r="F13" s="305"/>
      <c r="G13" s="606">
        <f>D13+E13-F13</f>
        <v>0</v>
      </c>
    </row>
    <row r="14" spans="1:7" s="18" customFormat="1" ht="20.25" customHeight="1" thickBot="1">
      <c r="A14" s="1114"/>
      <c r="B14" s="1115"/>
      <c r="C14" s="607"/>
      <c r="D14" s="608"/>
      <c r="E14" s="608"/>
      <c r="F14" s="608"/>
      <c r="G14" s="609">
        <f>D14+E14-F14</f>
        <v>0</v>
      </c>
    </row>
    <row r="15" spans="3:7" s="18" customFormat="1" ht="20.25" customHeight="1" thickBot="1">
      <c r="C15" s="125"/>
      <c r="D15" s="126"/>
      <c r="E15" s="126"/>
      <c r="F15" s="126"/>
      <c r="G15" s="194"/>
    </row>
    <row r="16" spans="1:7" s="18" customFormat="1" ht="15.75" customHeight="1" thickBot="1">
      <c r="A16" s="1116" t="s">
        <v>478</v>
      </c>
      <c r="B16" s="1117"/>
      <c r="C16" s="610"/>
      <c r="D16" s="611"/>
      <c r="E16" s="611"/>
      <c r="F16" s="611"/>
      <c r="G16" s="612"/>
    </row>
    <row r="17" spans="1:7" s="18" customFormat="1" ht="6" customHeight="1">
      <c r="A17" s="603"/>
      <c r="B17" s="578"/>
      <c r="C17" s="125"/>
      <c r="D17" s="126"/>
      <c r="E17" s="126"/>
      <c r="F17" s="126"/>
      <c r="G17" s="613"/>
    </row>
    <row r="18" spans="1:7" s="18" customFormat="1" ht="20.25" customHeight="1">
      <c r="A18" s="1112"/>
      <c r="B18" s="1113"/>
      <c r="C18" s="302"/>
      <c r="D18" s="303"/>
      <c r="E18" s="303"/>
      <c r="F18" s="303"/>
      <c r="G18" s="605">
        <f aca="true" t="shared" si="0" ref="G18:G35">(D18+E18-F18)</f>
        <v>0</v>
      </c>
    </row>
    <row r="19" spans="1:7" s="18" customFormat="1" ht="20.25" customHeight="1">
      <c r="A19" s="1124"/>
      <c r="B19" s="1125"/>
      <c r="C19" s="304"/>
      <c r="D19" s="305"/>
      <c r="E19" s="305"/>
      <c r="F19" s="305"/>
      <c r="G19" s="606">
        <f t="shared" si="0"/>
        <v>0</v>
      </c>
    </row>
    <row r="20" spans="1:7" s="18" customFormat="1" ht="20.25" customHeight="1">
      <c r="A20" s="1124"/>
      <c r="B20" s="1125"/>
      <c r="C20" s="304"/>
      <c r="D20" s="305"/>
      <c r="E20" s="305"/>
      <c r="F20" s="305"/>
      <c r="G20" s="606">
        <f t="shared" si="0"/>
        <v>0</v>
      </c>
    </row>
    <row r="21" spans="1:7" s="18" customFormat="1" ht="20.25" customHeight="1">
      <c r="A21" s="1124"/>
      <c r="B21" s="1125"/>
      <c r="C21" s="304"/>
      <c r="D21" s="305"/>
      <c r="E21" s="305"/>
      <c r="F21" s="305"/>
      <c r="G21" s="606">
        <f t="shared" si="0"/>
        <v>0</v>
      </c>
    </row>
    <row r="22" spans="1:7" s="18" customFormat="1" ht="20.25" customHeight="1" thickBot="1">
      <c r="A22" s="1114"/>
      <c r="B22" s="1115"/>
      <c r="C22" s="607"/>
      <c r="D22" s="608"/>
      <c r="E22" s="608"/>
      <c r="F22" s="608"/>
      <c r="G22" s="609">
        <f t="shared" si="0"/>
        <v>0</v>
      </c>
    </row>
    <row r="23" spans="1:7" s="600" customFormat="1" ht="20.25" customHeight="1" thickBot="1">
      <c r="A23" s="596"/>
      <c r="B23" s="596"/>
      <c r="C23" s="597"/>
      <c r="D23" s="598"/>
      <c r="E23" s="598"/>
      <c r="F23" s="598"/>
      <c r="G23" s="599"/>
    </row>
    <row r="24" spans="1:7" s="18" customFormat="1" ht="15.75" customHeight="1" thickBot="1">
      <c r="A24" s="1116" t="s">
        <v>479</v>
      </c>
      <c r="B24" s="1126"/>
      <c r="C24" s="1126"/>
      <c r="D24" s="1117"/>
      <c r="E24" s="620"/>
      <c r="F24" s="614"/>
      <c r="G24" s="615"/>
    </row>
    <row r="25" spans="1:7" s="18" customFormat="1" ht="6" customHeight="1">
      <c r="A25" s="616"/>
      <c r="B25" s="579"/>
      <c r="C25" s="224"/>
      <c r="D25" s="225"/>
      <c r="E25" s="225"/>
      <c r="F25" s="225"/>
      <c r="G25" s="617"/>
    </row>
    <row r="26" spans="1:7" s="18" customFormat="1" ht="20.25" customHeight="1">
      <c r="A26" s="1112"/>
      <c r="B26" s="1113"/>
      <c r="C26" s="302"/>
      <c r="D26" s="303"/>
      <c r="E26" s="303"/>
      <c r="F26" s="303"/>
      <c r="G26" s="605">
        <f t="shared" si="0"/>
        <v>0</v>
      </c>
    </row>
    <row r="27" spans="1:7" s="18" customFormat="1" ht="20.25" customHeight="1">
      <c r="A27" s="1124"/>
      <c r="B27" s="1125"/>
      <c r="C27" s="304"/>
      <c r="D27" s="305"/>
      <c r="E27" s="305"/>
      <c r="F27" s="305"/>
      <c r="G27" s="606">
        <f t="shared" si="0"/>
        <v>0</v>
      </c>
    </row>
    <row r="28" spans="1:7" s="18" customFormat="1" ht="20.25" customHeight="1">
      <c r="A28" s="1124"/>
      <c r="B28" s="1125"/>
      <c r="C28" s="304"/>
      <c r="D28" s="305"/>
      <c r="E28" s="305"/>
      <c r="F28" s="305"/>
      <c r="G28" s="606">
        <f t="shared" si="0"/>
        <v>0</v>
      </c>
    </row>
    <row r="29" spans="1:7" s="18" customFormat="1" ht="20.25" customHeight="1">
      <c r="A29" s="1124"/>
      <c r="B29" s="1125"/>
      <c r="C29" s="304"/>
      <c r="D29" s="305"/>
      <c r="E29" s="305"/>
      <c r="F29" s="305"/>
      <c r="G29" s="606">
        <f t="shared" si="0"/>
        <v>0</v>
      </c>
    </row>
    <row r="30" spans="1:7" s="18" customFormat="1" ht="20.25" customHeight="1" thickBot="1">
      <c r="A30" s="1114"/>
      <c r="B30" s="1115"/>
      <c r="C30" s="607"/>
      <c r="D30" s="608"/>
      <c r="E30" s="608"/>
      <c r="F30" s="608"/>
      <c r="G30" s="609">
        <f t="shared" si="0"/>
        <v>0</v>
      </c>
    </row>
    <row r="31" spans="1:7" s="574" customFormat="1" ht="20.25" customHeight="1" thickBot="1">
      <c r="A31" s="1127"/>
      <c r="B31" s="1127"/>
      <c r="C31" s="597"/>
      <c r="D31" s="598"/>
      <c r="E31" s="598"/>
      <c r="F31" s="598"/>
      <c r="G31" s="599"/>
    </row>
    <row r="32" spans="1:7" s="18" customFormat="1" ht="15.75" customHeight="1" thickBot="1">
      <c r="A32" s="1116" t="s">
        <v>480</v>
      </c>
      <c r="B32" s="1117"/>
      <c r="C32" s="618"/>
      <c r="D32" s="619"/>
      <c r="E32" s="619"/>
      <c r="F32" s="619"/>
      <c r="G32" s="612"/>
    </row>
    <row r="33" spans="1:7" s="18" customFormat="1" ht="6" customHeight="1">
      <c r="A33" s="603"/>
      <c r="B33" s="578"/>
      <c r="C33" s="127"/>
      <c r="D33" s="128"/>
      <c r="E33" s="128"/>
      <c r="F33" s="128"/>
      <c r="G33" s="613"/>
    </row>
    <row r="34" spans="1:7" s="18" customFormat="1" ht="21.75" customHeight="1">
      <c r="A34" s="1112"/>
      <c r="B34" s="1113"/>
      <c r="C34" s="302"/>
      <c r="D34" s="303"/>
      <c r="E34" s="303"/>
      <c r="F34" s="303"/>
      <c r="G34" s="605">
        <f t="shared" si="0"/>
        <v>0</v>
      </c>
    </row>
    <row r="35" spans="1:7" s="18" customFormat="1" ht="21.75" customHeight="1" thickBot="1">
      <c r="A35" s="1114"/>
      <c r="B35" s="1115"/>
      <c r="C35" s="607"/>
      <c r="D35" s="608"/>
      <c r="E35" s="608"/>
      <c r="F35" s="608"/>
      <c r="G35" s="609">
        <f t="shared" si="0"/>
        <v>0</v>
      </c>
    </row>
    <row r="36" spans="1:7" s="600" customFormat="1" ht="20.25" customHeight="1" thickBot="1">
      <c r="A36" s="596"/>
      <c r="B36" s="596"/>
      <c r="C36" s="597"/>
      <c r="D36" s="598"/>
      <c r="E36" s="598"/>
      <c r="F36" s="598"/>
      <c r="G36" s="599"/>
    </row>
    <row r="37" spans="1:7" s="18" customFormat="1" ht="15.75" customHeight="1" thickBot="1">
      <c r="A37" s="1116" t="s">
        <v>482</v>
      </c>
      <c r="B37" s="1117"/>
      <c r="C37" s="618"/>
      <c r="D37" s="619"/>
      <c r="E37" s="619"/>
      <c r="F37" s="619"/>
      <c r="G37" s="612"/>
    </row>
    <row r="38" spans="1:7" s="18" customFormat="1" ht="6" customHeight="1">
      <c r="A38" s="603"/>
      <c r="B38" s="578"/>
      <c r="C38" s="127"/>
      <c r="D38" s="128"/>
      <c r="E38" s="128"/>
      <c r="F38" s="128"/>
      <c r="G38" s="613"/>
    </row>
    <row r="39" spans="1:7" s="18" customFormat="1" ht="21.75" customHeight="1">
      <c r="A39" s="1112"/>
      <c r="B39" s="1113"/>
      <c r="C39" s="302"/>
      <c r="D39" s="303"/>
      <c r="E39" s="303"/>
      <c r="F39" s="303"/>
      <c r="G39" s="605">
        <f>(D39+E39-F39)</f>
        <v>0</v>
      </c>
    </row>
    <row r="40" spans="1:7" s="18" customFormat="1" ht="21.75" customHeight="1" thickBot="1">
      <c r="A40" s="1114"/>
      <c r="B40" s="1115"/>
      <c r="C40" s="607"/>
      <c r="D40" s="608"/>
      <c r="E40" s="608"/>
      <c r="F40" s="608"/>
      <c r="G40" s="609">
        <f>(D40+E40-F40)</f>
        <v>0</v>
      </c>
    </row>
  </sheetData>
  <sheetProtection sheet="1"/>
  <mergeCells count="30">
    <mergeCell ref="A39:B39"/>
    <mergeCell ref="A40:B40"/>
    <mergeCell ref="A31:B31"/>
    <mergeCell ref="A13:B13"/>
    <mergeCell ref="A30:B30"/>
    <mergeCell ref="A32:B32"/>
    <mergeCell ref="A34:B34"/>
    <mergeCell ref="A35:B35"/>
    <mergeCell ref="A37:B37"/>
    <mergeCell ref="A21:B21"/>
    <mergeCell ref="E7:E8"/>
    <mergeCell ref="A7:B8"/>
    <mergeCell ref="A27:B27"/>
    <mergeCell ref="A28:B28"/>
    <mergeCell ref="A29:B29"/>
    <mergeCell ref="A24:D24"/>
    <mergeCell ref="A19:B19"/>
    <mergeCell ref="A20:B20"/>
    <mergeCell ref="A22:B22"/>
    <mergeCell ref="A26:B26"/>
    <mergeCell ref="A12:B12"/>
    <mergeCell ref="A14:B14"/>
    <mergeCell ref="A16:B16"/>
    <mergeCell ref="A18:B18"/>
    <mergeCell ref="F5:G5"/>
    <mergeCell ref="F7:F8"/>
    <mergeCell ref="G7:G8"/>
    <mergeCell ref="A10:B10"/>
    <mergeCell ref="D7:D8"/>
    <mergeCell ref="C7:C8"/>
  </mergeCells>
  <printOptions/>
  <pageMargins left="0.3937007874015748" right="0.3937007874015748" top="0.3937007874015748" bottom="0.15748031496062992"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8.xml><?xml version="1.0" encoding="utf-8"?>
<worksheet xmlns="http://schemas.openxmlformats.org/spreadsheetml/2006/main" xmlns:r="http://schemas.openxmlformats.org/officeDocument/2006/relationships">
  <sheetPr codeName="Tabelle13">
    <tabColor indexed="10"/>
  </sheetPr>
  <dimension ref="A1:O47"/>
  <sheetViews>
    <sheetView showGridLines="0" showZeros="0" zoomScale="90" zoomScaleNormal="90" zoomScalePageLayoutView="0" workbookViewId="0" topLeftCell="A7">
      <selection activeCell="O26" sqref="O26"/>
    </sheetView>
  </sheetViews>
  <sheetFormatPr defaultColWidth="11.421875" defaultRowHeight="12.75"/>
  <cols>
    <col min="1" max="1" width="17.7109375" style="0" customWidth="1"/>
    <col min="2" max="2" width="5.57421875" style="16" customWidth="1"/>
    <col min="3" max="3" width="5.57421875" style="0" customWidth="1"/>
    <col min="4" max="4" width="4.00390625" style="16" customWidth="1"/>
    <col min="5" max="5" width="6.00390625" style="0" bestFit="1" customWidth="1"/>
    <col min="6" max="6" width="10.28125" style="0" customWidth="1"/>
    <col min="7" max="7" width="16.00390625" style="0" customWidth="1"/>
    <col min="8" max="8" width="5.57421875" style="40" customWidth="1"/>
    <col min="9" max="9" width="5.57421875" style="0" customWidth="1"/>
    <col min="10" max="10" width="4.00390625" style="41" customWidth="1"/>
    <col min="11" max="11" width="6.00390625" style="0" bestFit="1" customWidth="1"/>
    <col min="12" max="12" width="10.28125" style="0" customWidth="1"/>
    <col min="13" max="13" width="3.8515625" style="0" customWidth="1"/>
    <col min="15" max="15" width="135.8515625" style="0" customWidth="1"/>
  </cols>
  <sheetData>
    <row r="1" spans="1:2" ht="23.25">
      <c r="A1" s="790">
        <f>DECKBLATT!B14</f>
        <v>0</v>
      </c>
      <c r="B1" s="17"/>
    </row>
    <row r="2" ht="8.25" customHeight="1">
      <c r="B2" s="33"/>
    </row>
    <row r="3" spans="2:12" ht="18">
      <c r="B3" s="88"/>
      <c r="C3" s="88"/>
      <c r="J3" s="15"/>
      <c r="L3" s="15"/>
    </row>
    <row r="4" spans="1:12" ht="26.25" customHeight="1">
      <c r="A4" s="556" t="s">
        <v>443</v>
      </c>
      <c r="B4" s="34"/>
      <c r="H4" s="957">
        <f>DECKBLATT!B11</f>
        <v>43830</v>
      </c>
      <c r="I4" s="957"/>
      <c r="J4" s="957"/>
      <c r="K4" s="957"/>
      <c r="L4" s="957"/>
    </row>
    <row r="5" spans="1:2" ht="14.25">
      <c r="A5" s="22"/>
      <c r="B5" s="35"/>
    </row>
    <row r="6" spans="1:2" ht="12.75">
      <c r="A6" s="104" t="s">
        <v>357</v>
      </c>
      <c r="B6" s="36"/>
    </row>
    <row r="7" spans="1:2" ht="12.75">
      <c r="A7" s="8" t="s">
        <v>495</v>
      </c>
      <c r="B7" s="37"/>
    </row>
    <row r="8" spans="1:2" ht="13.5" thickBot="1">
      <c r="A8" s="10"/>
      <c r="B8" s="38"/>
    </row>
    <row r="9" spans="1:13" ht="18.75" customHeight="1" thickBot="1">
      <c r="A9" s="1130" t="s">
        <v>0</v>
      </c>
      <c r="B9" s="1131"/>
      <c r="C9" s="1128" t="s">
        <v>1</v>
      </c>
      <c r="D9" s="1129"/>
      <c r="E9" s="192" t="s">
        <v>2</v>
      </c>
      <c r="F9" s="192" t="s">
        <v>167</v>
      </c>
      <c r="G9" s="1130" t="s">
        <v>0</v>
      </c>
      <c r="H9" s="1131"/>
      <c r="I9" s="1128" t="s">
        <v>1</v>
      </c>
      <c r="J9" s="1129"/>
      <c r="K9" s="192" t="s">
        <v>2</v>
      </c>
      <c r="L9" s="219" t="s">
        <v>369</v>
      </c>
      <c r="M9" s="227" t="s">
        <v>347</v>
      </c>
    </row>
    <row r="10" spans="1:12" ht="16.5" customHeight="1">
      <c r="A10" s="1136" t="s">
        <v>4</v>
      </c>
      <c r="B10" s="1134"/>
      <c r="C10" s="1134"/>
      <c r="D10" s="1134"/>
      <c r="E10" s="1134"/>
      <c r="F10" s="1135"/>
      <c r="G10" s="1136" t="s">
        <v>103</v>
      </c>
      <c r="H10" s="1134"/>
      <c r="I10" s="1134"/>
      <c r="J10" s="1134"/>
      <c r="K10" s="1135"/>
      <c r="L10" s="439">
        <f>(F47)</f>
        <v>0</v>
      </c>
    </row>
    <row r="11" spans="1:12" ht="17.25" customHeight="1">
      <c r="A11" s="306" t="s">
        <v>111</v>
      </c>
      <c r="B11" s="246">
        <v>4000</v>
      </c>
      <c r="C11" s="307"/>
      <c r="D11" s="246" t="s">
        <v>5</v>
      </c>
      <c r="E11" s="308">
        <v>50</v>
      </c>
      <c r="F11" s="435">
        <f>ROUNDUP(C11*E11,0)</f>
        <v>0</v>
      </c>
      <c r="G11" s="1134" t="s">
        <v>104</v>
      </c>
      <c r="H11" s="1134"/>
      <c r="I11" s="1134"/>
      <c r="J11" s="1134"/>
      <c r="K11" s="1134"/>
      <c r="L11" s="1135"/>
    </row>
    <row r="12" spans="1:12" ht="17.25" customHeight="1">
      <c r="A12" s="309" t="s">
        <v>112</v>
      </c>
      <c r="B12" s="248">
        <v>4000</v>
      </c>
      <c r="C12" s="310"/>
      <c r="D12" s="248" t="s">
        <v>5</v>
      </c>
      <c r="E12" s="311">
        <v>40</v>
      </c>
      <c r="F12" s="435">
        <f aca="true" t="shared" si="0" ref="F12:F46">ROUNDUP(C12*E12,0)</f>
        <v>0</v>
      </c>
      <c r="G12" s="306" t="s">
        <v>135</v>
      </c>
      <c r="H12" s="319">
        <v>4100</v>
      </c>
      <c r="I12" s="320"/>
      <c r="J12" s="246" t="s">
        <v>5</v>
      </c>
      <c r="K12" s="308">
        <v>40</v>
      </c>
      <c r="L12" s="435">
        <f>ROUNDUP(I12*K12,0)</f>
        <v>0</v>
      </c>
    </row>
    <row r="13" spans="1:12" ht="17.25" customHeight="1">
      <c r="A13" s="309" t="s">
        <v>113</v>
      </c>
      <c r="B13" s="248">
        <v>4000</v>
      </c>
      <c r="C13" s="310"/>
      <c r="D13" s="248" t="s">
        <v>5</v>
      </c>
      <c r="E13" s="311">
        <v>56</v>
      </c>
      <c r="F13" s="435">
        <f t="shared" si="0"/>
        <v>0</v>
      </c>
      <c r="G13" s="309" t="s">
        <v>136</v>
      </c>
      <c r="H13" s="321">
        <v>4100</v>
      </c>
      <c r="I13" s="322"/>
      <c r="J13" s="248" t="s">
        <v>5</v>
      </c>
      <c r="K13" s="311">
        <v>40</v>
      </c>
      <c r="L13" s="435">
        <f aca="true" t="shared" si="1" ref="L13:L44">ROUNDUP(I13*K13,0)</f>
        <v>0</v>
      </c>
    </row>
    <row r="14" spans="1:12" ht="17.25" customHeight="1">
      <c r="A14" s="309" t="s">
        <v>421</v>
      </c>
      <c r="B14" s="248"/>
      <c r="C14" s="310"/>
      <c r="D14" s="248" t="s">
        <v>5</v>
      </c>
      <c r="E14" s="311">
        <v>35</v>
      </c>
      <c r="F14" s="435">
        <f t="shared" si="0"/>
        <v>0</v>
      </c>
      <c r="G14" s="309" t="s">
        <v>137</v>
      </c>
      <c r="H14" s="321">
        <v>4100</v>
      </c>
      <c r="I14" s="322"/>
      <c r="J14" s="248" t="s">
        <v>5</v>
      </c>
      <c r="K14" s="311">
        <v>6</v>
      </c>
      <c r="L14" s="435">
        <f t="shared" si="1"/>
        <v>0</v>
      </c>
    </row>
    <row r="15" spans="1:12" ht="17.25" customHeight="1">
      <c r="A15" s="309" t="s">
        <v>114</v>
      </c>
      <c r="B15" s="248">
        <v>4010</v>
      </c>
      <c r="C15" s="310"/>
      <c r="D15" s="248" t="s">
        <v>5</v>
      </c>
      <c r="E15" s="311">
        <v>35</v>
      </c>
      <c r="F15" s="435">
        <f t="shared" si="0"/>
        <v>0</v>
      </c>
      <c r="G15" s="309"/>
      <c r="H15" s="321"/>
      <c r="I15" s="322"/>
      <c r="J15" s="248"/>
      <c r="K15" s="311"/>
      <c r="L15" s="435">
        <f t="shared" si="1"/>
        <v>0</v>
      </c>
    </row>
    <row r="16" spans="1:12" ht="17.25" customHeight="1">
      <c r="A16" s="309" t="s">
        <v>115</v>
      </c>
      <c r="B16" s="248">
        <v>4010</v>
      </c>
      <c r="C16" s="310"/>
      <c r="D16" s="248" t="s">
        <v>5</v>
      </c>
      <c r="E16" s="311">
        <v>30</v>
      </c>
      <c r="F16" s="435">
        <f t="shared" si="0"/>
        <v>0</v>
      </c>
      <c r="G16" s="323"/>
      <c r="H16" s="324"/>
      <c r="I16" s="325"/>
      <c r="J16" s="249"/>
      <c r="K16" s="326"/>
      <c r="L16" s="435">
        <f t="shared" si="1"/>
        <v>0</v>
      </c>
    </row>
    <row r="17" spans="1:12" ht="17.25" customHeight="1" thickBot="1">
      <c r="A17" s="309" t="s">
        <v>116</v>
      </c>
      <c r="B17" s="248">
        <v>4010</v>
      </c>
      <c r="C17" s="310"/>
      <c r="D17" s="248" t="s">
        <v>5</v>
      </c>
      <c r="E17" s="311">
        <v>35</v>
      </c>
      <c r="F17" s="435">
        <f t="shared" si="0"/>
        <v>0</v>
      </c>
      <c r="G17" s="1137" t="s">
        <v>105</v>
      </c>
      <c r="H17" s="1137"/>
      <c r="I17" s="1137"/>
      <c r="J17" s="1137"/>
      <c r="K17" s="1137"/>
      <c r="L17" s="1137"/>
    </row>
    <row r="18" spans="1:13" ht="17.25" customHeight="1" thickBot="1">
      <c r="A18" s="312"/>
      <c r="B18" s="313"/>
      <c r="C18" s="310"/>
      <c r="D18" s="314"/>
      <c r="E18" s="315"/>
      <c r="F18" s="435">
        <f t="shared" si="0"/>
        <v>0</v>
      </c>
      <c r="G18" s="327"/>
      <c r="H18" s="250">
        <v>4140</v>
      </c>
      <c r="I18" s="328"/>
      <c r="J18" s="246" t="s">
        <v>24</v>
      </c>
      <c r="K18" s="329"/>
      <c r="L18" s="435">
        <f t="shared" si="1"/>
        <v>0</v>
      </c>
      <c r="M18" s="226"/>
    </row>
    <row r="19" spans="1:13" ht="17.25" customHeight="1" thickBot="1">
      <c r="A19" s="309" t="s">
        <v>117</v>
      </c>
      <c r="B19" s="248">
        <v>4020</v>
      </c>
      <c r="C19" s="310"/>
      <c r="D19" s="248" t="s">
        <v>5</v>
      </c>
      <c r="E19" s="311">
        <v>35</v>
      </c>
      <c r="F19" s="435">
        <f t="shared" si="0"/>
        <v>0</v>
      </c>
      <c r="G19" s="316"/>
      <c r="H19" s="321">
        <v>4140</v>
      </c>
      <c r="I19" s="769"/>
      <c r="J19" s="248" t="s">
        <v>24</v>
      </c>
      <c r="K19" s="315"/>
      <c r="L19" s="435">
        <f t="shared" si="1"/>
        <v>0</v>
      </c>
      <c r="M19" s="226"/>
    </row>
    <row r="20" spans="1:13" ht="17.25" customHeight="1" thickBot="1">
      <c r="A20" s="309" t="s">
        <v>349</v>
      </c>
      <c r="B20" s="248">
        <v>4020</v>
      </c>
      <c r="C20" s="310"/>
      <c r="D20" s="248" t="s">
        <v>5</v>
      </c>
      <c r="E20" s="311">
        <v>50</v>
      </c>
      <c r="F20" s="435">
        <f t="shared" si="0"/>
        <v>0</v>
      </c>
      <c r="G20" s="323"/>
      <c r="H20" s="324">
        <v>4140</v>
      </c>
      <c r="I20" s="770"/>
      <c r="J20" s="249" t="s">
        <v>24</v>
      </c>
      <c r="K20" s="326"/>
      <c r="L20" s="435">
        <f t="shared" si="1"/>
        <v>0</v>
      </c>
      <c r="M20" s="226"/>
    </row>
    <row r="21" spans="1:12" ht="17.25" customHeight="1" thickBot="1">
      <c r="A21" s="309" t="s">
        <v>350</v>
      </c>
      <c r="B21" s="248">
        <v>4020</v>
      </c>
      <c r="C21" s="310"/>
      <c r="D21" s="248" t="s">
        <v>5</v>
      </c>
      <c r="E21" s="311">
        <v>51</v>
      </c>
      <c r="F21" s="435">
        <f t="shared" si="0"/>
        <v>0</v>
      </c>
      <c r="G21" s="1137"/>
      <c r="H21" s="1137"/>
      <c r="I21" s="1137"/>
      <c r="J21" s="1137"/>
      <c r="K21" s="1137"/>
      <c r="L21" s="1137"/>
    </row>
    <row r="22" spans="1:13" ht="17.25" customHeight="1" thickBot="1">
      <c r="A22" s="309" t="s">
        <v>509</v>
      </c>
      <c r="B22" s="248">
        <v>4020</v>
      </c>
      <c r="C22" s="310"/>
      <c r="D22" s="248" t="s">
        <v>101</v>
      </c>
      <c r="E22" s="311">
        <v>130</v>
      </c>
      <c r="F22" s="435">
        <f t="shared" si="0"/>
        <v>0</v>
      </c>
      <c r="G22" s="306" t="s">
        <v>138</v>
      </c>
      <c r="H22" s="319">
        <v>4230</v>
      </c>
      <c r="I22" s="320"/>
      <c r="J22" s="246" t="s">
        <v>24</v>
      </c>
      <c r="K22" s="308">
        <v>1</v>
      </c>
      <c r="L22" s="435">
        <f t="shared" si="1"/>
        <v>0</v>
      </c>
      <c r="M22" s="226"/>
    </row>
    <row r="23" spans="1:13" ht="17.25" customHeight="1" thickBot="1">
      <c r="A23" s="316"/>
      <c r="B23" s="248"/>
      <c r="C23" s="310"/>
      <c r="D23" s="314"/>
      <c r="E23" s="315"/>
      <c r="F23" s="435">
        <f t="shared" si="0"/>
        <v>0</v>
      </c>
      <c r="G23" s="309" t="s">
        <v>139</v>
      </c>
      <c r="H23" s="321">
        <v>4230</v>
      </c>
      <c r="I23" s="322"/>
      <c r="J23" s="248" t="s">
        <v>24</v>
      </c>
      <c r="K23" s="311">
        <v>1</v>
      </c>
      <c r="L23" s="435">
        <f t="shared" si="1"/>
        <v>0</v>
      </c>
      <c r="M23" s="226"/>
    </row>
    <row r="24" spans="1:13" ht="17.25" customHeight="1" thickBot="1">
      <c r="A24" s="309" t="s">
        <v>119</v>
      </c>
      <c r="B24" s="248">
        <v>4130</v>
      </c>
      <c r="C24" s="310"/>
      <c r="D24" s="248" t="s">
        <v>5</v>
      </c>
      <c r="E24" s="311">
        <v>37</v>
      </c>
      <c r="F24" s="435">
        <f t="shared" si="0"/>
        <v>0</v>
      </c>
      <c r="G24" s="316"/>
      <c r="H24" s="321"/>
      <c r="I24" s="322"/>
      <c r="J24" s="248" t="s">
        <v>24</v>
      </c>
      <c r="K24" s="315"/>
      <c r="L24" s="435">
        <f t="shared" si="1"/>
        <v>0</v>
      </c>
      <c r="M24" s="226"/>
    </row>
    <row r="25" spans="1:13" ht="17.25" customHeight="1" thickBot="1">
      <c r="A25" s="309" t="s">
        <v>120</v>
      </c>
      <c r="B25" s="248">
        <v>4210</v>
      </c>
      <c r="C25" s="310"/>
      <c r="D25" s="248" t="s">
        <v>5</v>
      </c>
      <c r="E25" s="311">
        <v>14</v>
      </c>
      <c r="F25" s="435">
        <f t="shared" si="0"/>
        <v>0</v>
      </c>
      <c r="G25" s="309" t="s">
        <v>140</v>
      </c>
      <c r="H25" s="321">
        <v>4230</v>
      </c>
      <c r="I25" s="322"/>
      <c r="J25" s="248" t="s">
        <v>106</v>
      </c>
      <c r="K25" s="311">
        <v>0.8</v>
      </c>
      <c r="L25" s="435">
        <f t="shared" si="1"/>
        <v>0</v>
      </c>
      <c r="M25" s="226"/>
    </row>
    <row r="26" spans="1:13" ht="17.25" customHeight="1" thickBot="1">
      <c r="A26" s="309" t="s">
        <v>121</v>
      </c>
      <c r="B26" s="248">
        <v>4210</v>
      </c>
      <c r="C26" s="310"/>
      <c r="D26" s="248" t="s">
        <v>5</v>
      </c>
      <c r="E26" s="311">
        <v>14</v>
      </c>
      <c r="F26" s="435">
        <f t="shared" si="0"/>
        <v>0</v>
      </c>
      <c r="G26" s="309" t="s">
        <v>141</v>
      </c>
      <c r="H26" s="321">
        <v>4230</v>
      </c>
      <c r="I26" s="322"/>
      <c r="J26" s="248" t="s">
        <v>106</v>
      </c>
      <c r="K26" s="311">
        <v>8</v>
      </c>
      <c r="L26" s="435">
        <f t="shared" si="1"/>
        <v>0</v>
      </c>
      <c r="M26" s="226"/>
    </row>
    <row r="27" spans="1:13" ht="17.25" customHeight="1" thickBot="1">
      <c r="A27" s="803" t="s">
        <v>118</v>
      </c>
      <c r="B27" s="248">
        <v>4210</v>
      </c>
      <c r="C27" s="310"/>
      <c r="D27" s="248" t="s">
        <v>5</v>
      </c>
      <c r="E27" s="804">
        <v>14</v>
      </c>
      <c r="F27" s="435">
        <f t="shared" si="0"/>
        <v>0</v>
      </c>
      <c r="G27" s="309" t="s">
        <v>404</v>
      </c>
      <c r="H27" s="321">
        <v>4230</v>
      </c>
      <c r="I27" s="322"/>
      <c r="J27" s="248" t="s">
        <v>106</v>
      </c>
      <c r="K27" s="311">
        <v>10</v>
      </c>
      <c r="L27" s="435">
        <f t="shared" si="1"/>
        <v>0</v>
      </c>
      <c r="M27" s="226"/>
    </row>
    <row r="28" spans="1:13" ht="17.25" customHeight="1" thickBot="1">
      <c r="A28" s="803" t="s">
        <v>102</v>
      </c>
      <c r="B28" s="248">
        <v>4210</v>
      </c>
      <c r="C28" s="310"/>
      <c r="D28" s="248" t="s">
        <v>5</v>
      </c>
      <c r="E28" s="311">
        <v>6</v>
      </c>
      <c r="F28" s="435">
        <f t="shared" si="0"/>
        <v>0</v>
      </c>
      <c r="G28" s="316"/>
      <c r="H28" s="321"/>
      <c r="I28" s="322"/>
      <c r="J28" s="248"/>
      <c r="K28" s="315"/>
      <c r="L28" s="435">
        <f t="shared" si="1"/>
        <v>0</v>
      </c>
      <c r="M28" s="226"/>
    </row>
    <row r="29" spans="1:14" ht="17.25" customHeight="1">
      <c r="A29" s="803" t="s">
        <v>513</v>
      </c>
      <c r="B29" s="805">
        <v>4210</v>
      </c>
      <c r="C29" s="806"/>
      <c r="D29" s="805" t="s">
        <v>5</v>
      </c>
      <c r="E29" s="807">
        <v>3</v>
      </c>
      <c r="F29" s="435">
        <f t="shared" si="0"/>
        <v>0</v>
      </c>
      <c r="G29" s="317" t="s">
        <v>142</v>
      </c>
      <c r="H29" s="324">
        <v>4240</v>
      </c>
      <c r="I29" s="325"/>
      <c r="J29" s="249" t="s">
        <v>107</v>
      </c>
      <c r="K29" s="318">
        <v>60</v>
      </c>
      <c r="L29" s="435">
        <f t="shared" si="1"/>
        <v>0</v>
      </c>
      <c r="N29" s="117"/>
    </row>
    <row r="30" spans="1:12" ht="17.25" customHeight="1" thickBot="1">
      <c r="A30" s="1137"/>
      <c r="B30" s="1137"/>
      <c r="C30" s="1137"/>
      <c r="D30" s="1137"/>
      <c r="E30" s="1137"/>
      <c r="F30" s="1137"/>
      <c r="G30" s="1137" t="s">
        <v>108</v>
      </c>
      <c r="H30" s="1137"/>
      <c r="I30" s="1137"/>
      <c r="J30" s="1137"/>
      <c r="K30" s="1137"/>
      <c r="L30" s="1137"/>
    </row>
    <row r="31" spans="1:15" ht="17.25" customHeight="1" thickBot="1">
      <c r="A31" s="306" t="s">
        <v>122</v>
      </c>
      <c r="B31" s="246">
        <v>4200</v>
      </c>
      <c r="C31" s="320"/>
      <c r="D31" s="246" t="s">
        <v>5</v>
      </c>
      <c r="E31" s="308">
        <v>24</v>
      </c>
      <c r="F31" s="435">
        <f t="shared" si="0"/>
        <v>0</v>
      </c>
      <c r="G31" s="331"/>
      <c r="H31" s="319">
        <v>4250</v>
      </c>
      <c r="I31" s="320"/>
      <c r="J31" s="246" t="s">
        <v>106</v>
      </c>
      <c r="K31" s="329"/>
      <c r="L31" s="435">
        <f t="shared" si="1"/>
        <v>0</v>
      </c>
      <c r="M31" s="226"/>
      <c r="O31" s="1142" t="s">
        <v>533</v>
      </c>
    </row>
    <row r="32" spans="1:15" ht="17.25" customHeight="1" thickBot="1">
      <c r="A32" s="309" t="s">
        <v>123</v>
      </c>
      <c r="B32" s="248">
        <v>4200</v>
      </c>
      <c r="C32" s="322"/>
      <c r="D32" s="248" t="s">
        <v>5</v>
      </c>
      <c r="E32" s="311">
        <v>30</v>
      </c>
      <c r="F32" s="435">
        <f t="shared" si="0"/>
        <v>0</v>
      </c>
      <c r="G32" s="316"/>
      <c r="H32" s="321">
        <v>4250</v>
      </c>
      <c r="I32" s="322"/>
      <c r="J32" s="248" t="s">
        <v>106</v>
      </c>
      <c r="K32" s="315"/>
      <c r="L32" s="435">
        <f t="shared" si="1"/>
        <v>0</v>
      </c>
      <c r="M32" s="226"/>
      <c r="O32" s="1142"/>
    </row>
    <row r="33" spans="1:15" ht="17.25" customHeight="1" thickBot="1">
      <c r="A33" s="309" t="s">
        <v>124</v>
      </c>
      <c r="B33" s="248">
        <v>4200</v>
      </c>
      <c r="C33" s="322"/>
      <c r="D33" s="248" t="s">
        <v>5</v>
      </c>
      <c r="E33" s="311">
        <v>24</v>
      </c>
      <c r="F33" s="435">
        <f t="shared" si="0"/>
        <v>0</v>
      </c>
      <c r="G33" s="316"/>
      <c r="H33" s="321">
        <v>4250</v>
      </c>
      <c r="I33" s="322"/>
      <c r="J33" s="248" t="s">
        <v>106</v>
      </c>
      <c r="K33" s="315"/>
      <c r="L33" s="435">
        <f t="shared" si="1"/>
        <v>0</v>
      </c>
      <c r="M33" s="226"/>
      <c r="O33" s="1142"/>
    </row>
    <row r="34" spans="1:13" ht="17.25" customHeight="1" thickBot="1">
      <c r="A34" s="309" t="s">
        <v>125</v>
      </c>
      <c r="B34" s="248">
        <v>4200</v>
      </c>
      <c r="C34" s="322"/>
      <c r="D34" s="248" t="s">
        <v>5</v>
      </c>
      <c r="E34" s="311">
        <v>24</v>
      </c>
      <c r="F34" s="435">
        <f t="shared" si="0"/>
        <v>0</v>
      </c>
      <c r="G34" s="323"/>
      <c r="H34" s="324">
        <v>4250</v>
      </c>
      <c r="I34" s="325"/>
      <c r="J34" s="249" t="s">
        <v>106</v>
      </c>
      <c r="K34" s="326"/>
      <c r="L34" s="435">
        <f t="shared" si="1"/>
        <v>0</v>
      </c>
      <c r="M34" s="226"/>
    </row>
    <row r="35" spans="1:12" ht="17.25" customHeight="1">
      <c r="A35" s="309" t="s">
        <v>126</v>
      </c>
      <c r="B35" s="248">
        <v>4200</v>
      </c>
      <c r="C35" s="322"/>
      <c r="D35" s="248" t="s">
        <v>5</v>
      </c>
      <c r="E35" s="311">
        <v>24</v>
      </c>
      <c r="F35" s="435">
        <f t="shared" si="0"/>
        <v>0</v>
      </c>
      <c r="G35" s="1137" t="s">
        <v>109</v>
      </c>
      <c r="H35" s="1137"/>
      <c r="I35" s="1137"/>
      <c r="J35" s="1137"/>
      <c r="K35" s="1137"/>
      <c r="L35" s="1137"/>
    </row>
    <row r="36" spans="1:12" ht="17.25" customHeight="1">
      <c r="A36" s="316"/>
      <c r="B36" s="248"/>
      <c r="C36" s="322"/>
      <c r="D36" s="314"/>
      <c r="E36" s="315"/>
      <c r="F36" s="435">
        <f t="shared" si="0"/>
        <v>0</v>
      </c>
      <c r="G36" s="306" t="s">
        <v>143</v>
      </c>
      <c r="H36" s="319">
        <v>4270</v>
      </c>
      <c r="I36" s="320"/>
      <c r="J36" s="246" t="s">
        <v>101</v>
      </c>
      <c r="K36" s="308">
        <v>100</v>
      </c>
      <c r="L36" s="435">
        <f t="shared" si="1"/>
        <v>0</v>
      </c>
    </row>
    <row r="37" spans="1:12" ht="17.25" customHeight="1">
      <c r="A37" s="309" t="s">
        <v>127</v>
      </c>
      <c r="B37" s="248">
        <v>4200</v>
      </c>
      <c r="C37" s="322"/>
      <c r="D37" s="248" t="s">
        <v>5</v>
      </c>
      <c r="E37" s="311">
        <v>44</v>
      </c>
      <c r="F37" s="435">
        <f t="shared" si="0"/>
        <v>0</v>
      </c>
      <c r="G37" s="309" t="s">
        <v>144</v>
      </c>
      <c r="H37" s="321">
        <v>4270</v>
      </c>
      <c r="I37" s="322"/>
      <c r="J37" s="248" t="s">
        <v>101</v>
      </c>
      <c r="K37" s="311">
        <v>20</v>
      </c>
      <c r="L37" s="435">
        <f t="shared" si="1"/>
        <v>0</v>
      </c>
    </row>
    <row r="38" spans="1:12" ht="17.25" customHeight="1">
      <c r="A38" s="309" t="s">
        <v>128</v>
      </c>
      <c r="B38" s="248">
        <v>4200</v>
      </c>
      <c r="C38" s="322"/>
      <c r="D38" s="248" t="s">
        <v>101</v>
      </c>
      <c r="E38" s="311">
        <v>50</v>
      </c>
      <c r="F38" s="435">
        <f t="shared" si="0"/>
        <v>0</v>
      </c>
      <c r="G38" s="309" t="s">
        <v>520</v>
      </c>
      <c r="H38" s="321">
        <v>4270</v>
      </c>
      <c r="I38" s="322"/>
      <c r="J38" s="248" t="s">
        <v>107</v>
      </c>
      <c r="K38" s="311">
        <v>90</v>
      </c>
      <c r="L38" s="435">
        <f t="shared" si="1"/>
        <v>0</v>
      </c>
    </row>
    <row r="39" spans="1:12" ht="17.25" customHeight="1">
      <c r="A39" s="309" t="s">
        <v>129</v>
      </c>
      <c r="B39" s="248">
        <v>4200</v>
      </c>
      <c r="C39" s="322"/>
      <c r="D39" s="313" t="s">
        <v>80</v>
      </c>
      <c r="E39" s="311">
        <v>55</v>
      </c>
      <c r="F39" s="435">
        <f t="shared" si="0"/>
        <v>0</v>
      </c>
      <c r="G39" s="309" t="s">
        <v>358</v>
      </c>
      <c r="H39" s="321">
        <v>4270</v>
      </c>
      <c r="I39" s="322"/>
      <c r="J39" s="248" t="s">
        <v>80</v>
      </c>
      <c r="K39" s="311">
        <v>1.5</v>
      </c>
      <c r="L39" s="435">
        <f t="shared" si="1"/>
        <v>0</v>
      </c>
    </row>
    <row r="40" spans="1:12" ht="17.25" customHeight="1">
      <c r="A40" s="309" t="s">
        <v>130</v>
      </c>
      <c r="B40" s="248">
        <v>4200</v>
      </c>
      <c r="C40" s="322"/>
      <c r="D40" s="248" t="s">
        <v>101</v>
      </c>
      <c r="E40" s="311">
        <v>43</v>
      </c>
      <c r="F40" s="435">
        <f t="shared" si="0"/>
        <v>0</v>
      </c>
      <c r="G40" s="809" t="s">
        <v>514</v>
      </c>
      <c r="H40" s="324">
        <v>4270</v>
      </c>
      <c r="I40" s="332"/>
      <c r="J40" s="810" t="s">
        <v>515</v>
      </c>
      <c r="K40" s="811">
        <v>35</v>
      </c>
      <c r="L40" s="435">
        <f t="shared" si="1"/>
        <v>0</v>
      </c>
    </row>
    <row r="41" spans="1:12" ht="17.25" customHeight="1" thickBot="1">
      <c r="A41" s="309" t="s">
        <v>131</v>
      </c>
      <c r="B41" s="248">
        <v>4200</v>
      </c>
      <c r="C41" s="322"/>
      <c r="D41" s="313" t="s">
        <v>80</v>
      </c>
      <c r="E41" s="311">
        <v>60</v>
      </c>
      <c r="F41" s="435">
        <f t="shared" si="0"/>
        <v>0</v>
      </c>
      <c r="G41" s="1137" t="s">
        <v>110</v>
      </c>
      <c r="H41" s="1137"/>
      <c r="I41" s="1137"/>
      <c r="J41" s="1137"/>
      <c r="K41" s="1137"/>
      <c r="L41" s="1137"/>
    </row>
    <row r="42" spans="1:13" ht="17.25" customHeight="1" thickBot="1">
      <c r="A42" s="309" t="s">
        <v>132</v>
      </c>
      <c r="B42" s="248">
        <v>4200</v>
      </c>
      <c r="C42" s="322"/>
      <c r="D42" s="248" t="s">
        <v>5</v>
      </c>
      <c r="E42" s="311">
        <v>45</v>
      </c>
      <c r="F42" s="435">
        <f t="shared" si="0"/>
        <v>0</v>
      </c>
      <c r="G42" s="1138"/>
      <c r="H42" s="1139"/>
      <c r="I42" s="333"/>
      <c r="J42" s="333"/>
      <c r="K42" s="329"/>
      <c r="L42" s="435">
        <f t="shared" si="1"/>
        <v>0</v>
      </c>
      <c r="M42" s="226"/>
    </row>
    <row r="43" spans="1:13" ht="17.25" customHeight="1" thickBot="1">
      <c r="A43" s="316"/>
      <c r="B43" s="248">
        <v>4200</v>
      </c>
      <c r="C43" s="322"/>
      <c r="D43" s="314"/>
      <c r="E43" s="315"/>
      <c r="F43" s="435">
        <f t="shared" si="0"/>
        <v>0</v>
      </c>
      <c r="G43" s="1132"/>
      <c r="H43" s="1133"/>
      <c r="I43" s="314"/>
      <c r="J43" s="314"/>
      <c r="K43" s="315"/>
      <c r="L43" s="435">
        <f t="shared" si="1"/>
        <v>0</v>
      </c>
      <c r="M43" s="226"/>
    </row>
    <row r="44" spans="1:13" ht="17.25" customHeight="1" thickBot="1">
      <c r="A44" s="309" t="s">
        <v>133</v>
      </c>
      <c r="B44" s="248">
        <v>4200</v>
      </c>
      <c r="C44" s="322"/>
      <c r="D44" s="248" t="s">
        <v>5</v>
      </c>
      <c r="E44" s="311">
        <v>7</v>
      </c>
      <c r="F44" s="435">
        <f t="shared" si="0"/>
        <v>0</v>
      </c>
      <c r="G44" s="1140"/>
      <c r="H44" s="1141"/>
      <c r="I44" s="330"/>
      <c r="J44" s="330"/>
      <c r="K44" s="326"/>
      <c r="L44" s="568">
        <f t="shared" si="1"/>
        <v>0</v>
      </c>
      <c r="M44" s="226"/>
    </row>
    <row r="45" spans="1:12" ht="17.25" customHeight="1" thickBot="1">
      <c r="A45" s="316"/>
      <c r="B45" s="248">
        <v>4200</v>
      </c>
      <c r="C45" s="814"/>
      <c r="D45" s="314"/>
      <c r="E45" s="315"/>
      <c r="F45" s="435">
        <f t="shared" si="0"/>
        <v>0</v>
      </c>
      <c r="G45" s="1145" t="s">
        <v>382</v>
      </c>
      <c r="H45" s="1146"/>
      <c r="I45" s="1146"/>
      <c r="J45" s="1146"/>
      <c r="K45" s="1146"/>
      <c r="L45" s="1147"/>
    </row>
    <row r="46" spans="1:13" ht="19.5" customHeight="1" thickBot="1">
      <c r="A46" s="323"/>
      <c r="B46" s="249">
        <v>4200</v>
      </c>
      <c r="C46" s="815"/>
      <c r="D46" s="330"/>
      <c r="E46" s="326"/>
      <c r="F46" s="435">
        <f t="shared" si="0"/>
        <v>0</v>
      </c>
      <c r="G46" s="1144" t="s">
        <v>519</v>
      </c>
      <c r="H46" s="1144"/>
      <c r="I46" s="1144"/>
      <c r="J46" s="1144"/>
      <c r="K46" s="24">
        <v>1200</v>
      </c>
      <c r="L46" s="437">
        <f>IF(M18=FALSE,0,L18)+IF(M19=FALSE,0,L19)+IF(M20=FALSE,0,L20)+IF(M31=FALSE,0,L31)+IF(M32=FALSE,0,L32)+IF(M33=FALSE,0,L33)+IF(M34=FALSE,0,L34)+IF(M22=FALSE,0,L22)+IF(M23=FALSE,0,L23)+IF(M24=FALSE,0,L24)+IF(M25=FALSE,0,L25)+IF(M26=FALSE,0,L26)+IF(M27=FALSE,0,L27)+IF(M28=FALSE,0,L28)+IF(M42=FALSE,0,L42)+IF(M43=FALSE,0,L43)+IF(M44=FALSE,0,L44)</f>
        <v>0</v>
      </c>
      <c r="M46" s="29"/>
    </row>
    <row r="47" spans="1:12" ht="21" customHeight="1" thickBot="1">
      <c r="A47" s="1136" t="s">
        <v>103</v>
      </c>
      <c r="B47" s="1134"/>
      <c r="C47" s="1134"/>
      <c r="D47" s="1134"/>
      <c r="E47" s="1135"/>
      <c r="F47" s="436">
        <f>SUM(F31:F46)+SUM(F11:F29)</f>
        <v>0</v>
      </c>
      <c r="G47" s="1143" t="s">
        <v>134</v>
      </c>
      <c r="H47" s="1143"/>
      <c r="I47" s="1143"/>
      <c r="J47" s="1143"/>
      <c r="K47" s="24">
        <v>1210</v>
      </c>
      <c r="L47" s="438">
        <f>F47+L12+L13+L14+L15+L16+L18+L19+L20+L22+L23+L24+L25+L26+L27+L28+L29+L31+L32+L33+L34+L36+L37+L38+L39+L40+L42+L43+L44-L46</f>
        <v>0</v>
      </c>
    </row>
  </sheetData>
  <sheetProtection sheet="1"/>
  <mergeCells count="22">
    <mergeCell ref="O31:O33"/>
    <mergeCell ref="A47:E47"/>
    <mergeCell ref="G21:L21"/>
    <mergeCell ref="G47:J47"/>
    <mergeCell ref="G46:J46"/>
    <mergeCell ref="G30:L30"/>
    <mergeCell ref="G45:L45"/>
    <mergeCell ref="A9:B9"/>
    <mergeCell ref="G42:H42"/>
    <mergeCell ref="G17:L17"/>
    <mergeCell ref="G44:H44"/>
    <mergeCell ref="A10:F10"/>
    <mergeCell ref="G35:L35"/>
    <mergeCell ref="A30:F30"/>
    <mergeCell ref="H4:L4"/>
    <mergeCell ref="I9:J9"/>
    <mergeCell ref="C9:D9"/>
    <mergeCell ref="G9:H9"/>
    <mergeCell ref="G43:H43"/>
    <mergeCell ref="G11:L11"/>
    <mergeCell ref="G10:K10"/>
    <mergeCell ref="G41:L41"/>
  </mergeCells>
  <printOptions/>
  <pageMargins left="0.31496062992125984" right="0.2362204724409449" top="0.3937007874015748" bottom="0.1968503937007874" header="0.3937007874015748" footer="0.1968503937007874"/>
  <pageSetup blackAndWhite="1" horizontalDpi="600" verticalDpi="600" orientation="portrait" paperSize="9" r:id="rId2"/>
  <headerFooter alignWithMargins="0">
    <oddFooter>&amp;C&amp;8(C) Lerch Treuhand AG, Itingen</oddFooter>
  </headerFooter>
  <drawing r:id="rId1"/>
</worksheet>
</file>

<file path=xl/worksheets/sheet19.xml><?xml version="1.0" encoding="utf-8"?>
<worksheet xmlns="http://schemas.openxmlformats.org/spreadsheetml/2006/main" xmlns:r="http://schemas.openxmlformats.org/officeDocument/2006/relationships">
  <sheetPr codeName="Tabelle14">
    <tabColor indexed="10"/>
  </sheetPr>
  <dimension ref="A1:M47"/>
  <sheetViews>
    <sheetView showGridLines="0" showZeros="0" zoomScale="90" zoomScaleNormal="90" zoomScalePageLayoutView="0" workbookViewId="0" topLeftCell="A1">
      <selection activeCell="P21" sqref="P21"/>
    </sheetView>
  </sheetViews>
  <sheetFormatPr defaultColWidth="11.421875" defaultRowHeight="12.75"/>
  <cols>
    <col min="1" max="1" width="16.00390625" style="0" customWidth="1"/>
    <col min="2" max="2" width="5.57421875" style="16" customWidth="1"/>
    <col min="3" max="3" width="5.57421875" style="0" customWidth="1"/>
    <col min="4" max="4" width="4.00390625" style="16" customWidth="1"/>
    <col min="5" max="5" width="5.57421875" style="0" customWidth="1"/>
    <col min="6" max="6" width="10.8515625" style="0" bestFit="1" customWidth="1"/>
    <col min="7" max="7" width="1.1484375" style="0" customWidth="1"/>
    <col min="8" max="8" width="16.421875" style="0" customWidth="1"/>
    <col min="9" max="9" width="5.57421875" style="40" customWidth="1"/>
    <col min="10" max="10" width="5.57421875" style="0" customWidth="1"/>
    <col min="11" max="11" width="4.00390625" style="41" customWidth="1"/>
    <col min="12" max="12" width="5.57421875" style="0" customWidth="1"/>
    <col min="13" max="13" width="10.8515625" style="0" customWidth="1"/>
  </cols>
  <sheetData>
    <row r="1" spans="1:2" ht="23.25">
      <c r="A1" s="790">
        <f>DECKBLATT!B14</f>
        <v>0</v>
      </c>
      <c r="B1" s="17"/>
    </row>
    <row r="2" spans="2:6" ht="8.25" customHeight="1">
      <c r="B2" s="221"/>
      <c r="C2" s="221"/>
      <c r="D2" s="221"/>
      <c r="E2" s="221"/>
      <c r="F2" s="221"/>
    </row>
    <row r="3" spans="2:13" ht="18.75" customHeight="1">
      <c r="B3" s="221"/>
      <c r="C3" s="221"/>
      <c r="D3" s="221"/>
      <c r="E3" s="221"/>
      <c r="F3" s="221"/>
      <c r="K3" s="15"/>
      <c r="M3" s="15"/>
    </row>
    <row r="4" spans="1:13" ht="26.25" customHeight="1">
      <c r="A4" s="556" t="s">
        <v>444</v>
      </c>
      <c r="B4" s="34"/>
      <c r="H4" s="957">
        <f>DECKBLATT!B11</f>
        <v>43830</v>
      </c>
      <c r="I4" s="957"/>
      <c r="J4" s="957"/>
      <c r="K4" s="957"/>
      <c r="L4" s="957"/>
      <c r="M4" s="957"/>
    </row>
    <row r="5" spans="2:3" ht="9" customHeight="1">
      <c r="B5" s="88"/>
      <c r="C5" s="88"/>
    </row>
    <row r="6" spans="1:2" ht="18.75">
      <c r="A6" s="581" t="s">
        <v>468</v>
      </c>
      <c r="B6" s="38"/>
    </row>
    <row r="7" spans="1:13" ht="18.75" customHeight="1">
      <c r="A7" s="1130" t="s">
        <v>0</v>
      </c>
      <c r="B7" s="1131"/>
      <c r="C7" s="1128" t="s">
        <v>1</v>
      </c>
      <c r="D7" s="1129"/>
      <c r="E7" s="192" t="s">
        <v>2</v>
      </c>
      <c r="F7" s="192" t="s">
        <v>167</v>
      </c>
      <c r="G7" s="195"/>
      <c r="H7" s="1130" t="s">
        <v>0</v>
      </c>
      <c r="I7" s="1131"/>
      <c r="J7" s="1128" t="s">
        <v>1</v>
      </c>
      <c r="K7" s="1129"/>
      <c r="L7" s="192" t="s">
        <v>2</v>
      </c>
      <c r="M7" s="188" t="s">
        <v>167</v>
      </c>
    </row>
    <row r="8" spans="1:13" ht="15.75" customHeight="1">
      <c r="A8" s="1136" t="s">
        <v>150</v>
      </c>
      <c r="B8" s="1134"/>
      <c r="C8" s="1134"/>
      <c r="D8" s="1134"/>
      <c r="E8" s="1134"/>
      <c r="F8" s="1135"/>
      <c r="H8" s="1136" t="s">
        <v>103</v>
      </c>
      <c r="I8" s="1134"/>
      <c r="J8" s="1134"/>
      <c r="K8" s="1134"/>
      <c r="L8" s="1135"/>
      <c r="M8" s="440">
        <f>(F46)</f>
        <v>0</v>
      </c>
    </row>
    <row r="9" spans="1:13" ht="17.25" customHeight="1">
      <c r="A9" s="306" t="s">
        <v>145</v>
      </c>
      <c r="B9" s="246">
        <v>3100</v>
      </c>
      <c r="C9" s="334"/>
      <c r="D9" s="246" t="s">
        <v>5</v>
      </c>
      <c r="E9" s="329"/>
      <c r="F9" s="434">
        <f>ROUNDUP(C9*E9,0)</f>
        <v>0</v>
      </c>
      <c r="H9" s="1136" t="s">
        <v>156</v>
      </c>
      <c r="I9" s="1134"/>
      <c r="J9" s="1134"/>
      <c r="K9" s="1134"/>
      <c r="L9" s="1134"/>
      <c r="M9" s="1135"/>
    </row>
    <row r="10" spans="1:13" ht="17.25" customHeight="1">
      <c r="A10" s="309" t="s">
        <v>489</v>
      </c>
      <c r="B10" s="248">
        <v>3100</v>
      </c>
      <c r="C10" s="310"/>
      <c r="D10" s="248" t="s">
        <v>5</v>
      </c>
      <c r="E10" s="315"/>
      <c r="F10" s="435">
        <f aca="true" t="shared" si="0" ref="F10:F17">ROUNDUP(C10*E10,0)</f>
        <v>0</v>
      </c>
      <c r="H10" s="331"/>
      <c r="I10" s="336">
        <v>3201</v>
      </c>
      <c r="J10" s="320"/>
      <c r="K10" s="246" t="s">
        <v>5</v>
      </c>
      <c r="L10" s="337"/>
      <c r="M10" s="435">
        <f>ROUNDUP(J10*L10,0)</f>
        <v>0</v>
      </c>
    </row>
    <row r="11" spans="1:13" ht="17.25" customHeight="1">
      <c r="A11" s="309" t="s">
        <v>146</v>
      </c>
      <c r="B11" s="248">
        <v>3100</v>
      </c>
      <c r="C11" s="310"/>
      <c r="D11" s="248" t="s">
        <v>5</v>
      </c>
      <c r="E11" s="315"/>
      <c r="F11" s="435">
        <f t="shared" si="0"/>
        <v>0</v>
      </c>
      <c r="H11" s="316"/>
      <c r="I11" s="338">
        <v>3201</v>
      </c>
      <c r="J11" s="322"/>
      <c r="K11" s="248" t="s">
        <v>5</v>
      </c>
      <c r="L11" s="339"/>
      <c r="M11" s="435">
        <f aca="true" t="shared" si="1" ref="M11:M17">ROUNDUP(J11*L11,0)</f>
        <v>0</v>
      </c>
    </row>
    <row r="12" spans="1:13" ht="17.25" customHeight="1">
      <c r="A12" s="309" t="s">
        <v>147</v>
      </c>
      <c r="B12" s="248">
        <v>3100</v>
      </c>
      <c r="C12" s="310"/>
      <c r="D12" s="248" t="s">
        <v>5</v>
      </c>
      <c r="E12" s="315"/>
      <c r="F12" s="435">
        <f t="shared" si="0"/>
        <v>0</v>
      </c>
      <c r="H12" s="316"/>
      <c r="I12" s="338">
        <v>3201</v>
      </c>
      <c r="J12" s="322"/>
      <c r="K12" s="248" t="s">
        <v>5</v>
      </c>
      <c r="L12" s="339"/>
      <c r="M12" s="435">
        <f t="shared" si="1"/>
        <v>0</v>
      </c>
    </row>
    <row r="13" spans="1:13" ht="17.25" customHeight="1">
      <c r="A13" s="309" t="s">
        <v>148</v>
      </c>
      <c r="B13" s="248">
        <v>3100</v>
      </c>
      <c r="C13" s="310"/>
      <c r="D13" s="248" t="s">
        <v>5</v>
      </c>
      <c r="E13" s="315"/>
      <c r="F13" s="435">
        <f t="shared" si="0"/>
        <v>0</v>
      </c>
      <c r="H13" s="316"/>
      <c r="I13" s="338">
        <v>3201</v>
      </c>
      <c r="J13" s="322"/>
      <c r="K13" s="248" t="s">
        <v>5</v>
      </c>
      <c r="L13" s="339"/>
      <c r="M13" s="435">
        <f t="shared" si="1"/>
        <v>0</v>
      </c>
    </row>
    <row r="14" spans="1:13" ht="17.25" customHeight="1">
      <c r="A14" s="316"/>
      <c r="B14" s="248">
        <v>3100</v>
      </c>
      <c r="C14" s="310"/>
      <c r="D14" s="248" t="s">
        <v>5</v>
      </c>
      <c r="E14" s="315"/>
      <c r="F14" s="435">
        <f t="shared" si="0"/>
        <v>0</v>
      </c>
      <c r="H14" s="316"/>
      <c r="I14" s="338">
        <v>3201</v>
      </c>
      <c r="J14" s="322"/>
      <c r="K14" s="248" t="s">
        <v>5</v>
      </c>
      <c r="L14" s="339"/>
      <c r="M14" s="435">
        <f t="shared" si="1"/>
        <v>0</v>
      </c>
    </row>
    <row r="15" spans="1:13" ht="17.25" customHeight="1">
      <c r="A15" s="316"/>
      <c r="B15" s="248">
        <v>3100</v>
      </c>
      <c r="C15" s="310"/>
      <c r="D15" s="248" t="s">
        <v>5</v>
      </c>
      <c r="E15" s="315"/>
      <c r="F15" s="435">
        <f t="shared" si="0"/>
        <v>0</v>
      </c>
      <c r="H15" s="316"/>
      <c r="I15" s="338">
        <v>3201</v>
      </c>
      <c r="J15" s="322"/>
      <c r="K15" s="477" t="s">
        <v>24</v>
      </c>
      <c r="L15" s="339"/>
      <c r="M15" s="435">
        <f t="shared" si="1"/>
        <v>0</v>
      </c>
    </row>
    <row r="16" spans="1:13" ht="17.25" customHeight="1">
      <c r="A16" s="316"/>
      <c r="B16" s="248">
        <v>3100</v>
      </c>
      <c r="C16" s="310"/>
      <c r="D16" s="248" t="s">
        <v>5</v>
      </c>
      <c r="E16" s="315"/>
      <c r="F16" s="435">
        <f t="shared" si="0"/>
        <v>0</v>
      </c>
      <c r="H16" s="340"/>
      <c r="I16" s="248">
        <v>3201</v>
      </c>
      <c r="J16" s="341"/>
      <c r="K16" s="248" t="s">
        <v>24</v>
      </c>
      <c r="L16" s="339"/>
      <c r="M16" s="435">
        <f t="shared" si="1"/>
        <v>0</v>
      </c>
    </row>
    <row r="17" spans="1:13" ht="17.25" customHeight="1">
      <c r="A17" s="316"/>
      <c r="B17" s="248">
        <v>3100</v>
      </c>
      <c r="C17" s="310"/>
      <c r="D17" s="248" t="s">
        <v>5</v>
      </c>
      <c r="E17" s="315"/>
      <c r="F17" s="435">
        <f t="shared" si="0"/>
        <v>0</v>
      </c>
      <c r="H17" s="316"/>
      <c r="I17" s="338">
        <v>3201</v>
      </c>
      <c r="J17" s="322"/>
      <c r="K17" s="248" t="s">
        <v>24</v>
      </c>
      <c r="L17" s="339"/>
      <c r="M17" s="435">
        <f t="shared" si="1"/>
        <v>0</v>
      </c>
    </row>
    <row r="18" spans="1:13" ht="17.25" customHeight="1">
      <c r="A18" s="735" t="s">
        <v>149</v>
      </c>
      <c r="B18" s="249">
        <v>3100</v>
      </c>
      <c r="C18" s="335"/>
      <c r="D18" s="249"/>
      <c r="E18" s="335"/>
      <c r="F18" s="464"/>
      <c r="H18" s="735" t="s">
        <v>359</v>
      </c>
      <c r="I18" s="342">
        <v>3201</v>
      </c>
      <c r="J18" s="343"/>
      <c r="K18" s="344"/>
      <c r="L18" s="345"/>
      <c r="M18" s="465"/>
    </row>
    <row r="19" spans="1:13" ht="17.25" customHeight="1">
      <c r="A19" s="1137" t="s">
        <v>151</v>
      </c>
      <c r="B19" s="1137"/>
      <c r="C19" s="1137"/>
      <c r="D19" s="1137"/>
      <c r="E19" s="1137"/>
      <c r="F19" s="1137"/>
      <c r="H19" s="1137" t="s">
        <v>155</v>
      </c>
      <c r="I19" s="1137"/>
      <c r="J19" s="1137"/>
      <c r="K19" s="1137"/>
      <c r="L19" s="1137"/>
      <c r="M19" s="1137"/>
    </row>
    <row r="20" spans="1:13" ht="17.25" customHeight="1">
      <c r="A20" s="306" t="s">
        <v>152</v>
      </c>
      <c r="B20" s="246">
        <v>3110</v>
      </c>
      <c r="C20" s="334"/>
      <c r="D20" s="246" t="s">
        <v>5</v>
      </c>
      <c r="E20" s="329"/>
      <c r="F20" s="435">
        <f aca="true" t="shared" si="2" ref="F20:F25">ROUNDUP(C20*E20,0)</f>
        <v>0</v>
      </c>
      <c r="H20" s="331"/>
      <c r="I20" s="319"/>
      <c r="J20" s="320"/>
      <c r="K20" s="246" t="s">
        <v>5</v>
      </c>
      <c r="L20" s="329"/>
      <c r="M20" s="435">
        <f aca="true" t="shared" si="3" ref="M20:M26">ROUNDUP(J20*L20,0)</f>
        <v>0</v>
      </c>
    </row>
    <row r="21" spans="1:13" ht="17.25" customHeight="1">
      <c r="A21" s="316"/>
      <c r="B21" s="248">
        <v>3110</v>
      </c>
      <c r="C21" s="310"/>
      <c r="D21" s="248" t="s">
        <v>5</v>
      </c>
      <c r="E21" s="315"/>
      <c r="F21" s="435">
        <f t="shared" si="2"/>
        <v>0</v>
      </c>
      <c r="H21" s="316"/>
      <c r="I21" s="321"/>
      <c r="J21" s="322"/>
      <c r="K21" s="248" t="s">
        <v>5</v>
      </c>
      <c r="L21" s="315"/>
      <c r="M21" s="435">
        <f t="shared" si="3"/>
        <v>0</v>
      </c>
    </row>
    <row r="22" spans="1:13" ht="17.25" customHeight="1">
      <c r="A22" s="316"/>
      <c r="B22" s="248">
        <v>3110</v>
      </c>
      <c r="C22" s="310"/>
      <c r="D22" s="248" t="s">
        <v>5</v>
      </c>
      <c r="E22" s="315"/>
      <c r="F22" s="435">
        <f t="shared" si="2"/>
        <v>0</v>
      </c>
      <c r="H22" s="316"/>
      <c r="I22" s="321"/>
      <c r="J22" s="322"/>
      <c r="K22" s="248" t="s">
        <v>5</v>
      </c>
      <c r="L22" s="315"/>
      <c r="M22" s="435">
        <f t="shared" si="3"/>
        <v>0</v>
      </c>
    </row>
    <row r="23" spans="1:13" ht="17.25" customHeight="1">
      <c r="A23" s="316"/>
      <c r="B23" s="248">
        <v>3110</v>
      </c>
      <c r="C23" s="310"/>
      <c r="D23" s="248" t="s">
        <v>5</v>
      </c>
      <c r="E23" s="315"/>
      <c r="F23" s="435">
        <f t="shared" si="2"/>
        <v>0</v>
      </c>
      <c r="H23" s="316"/>
      <c r="I23" s="321"/>
      <c r="J23" s="322"/>
      <c r="K23" s="477" t="s">
        <v>5</v>
      </c>
      <c r="L23" s="315"/>
      <c r="M23" s="435">
        <f t="shared" si="3"/>
        <v>0</v>
      </c>
    </row>
    <row r="24" spans="1:13" ht="17.25" customHeight="1">
      <c r="A24" s="316"/>
      <c r="B24" s="248">
        <v>3110</v>
      </c>
      <c r="C24" s="310"/>
      <c r="D24" s="248" t="s">
        <v>5</v>
      </c>
      <c r="E24" s="315"/>
      <c r="F24" s="435">
        <f t="shared" si="2"/>
        <v>0</v>
      </c>
      <c r="H24" s="316"/>
      <c r="I24" s="321"/>
      <c r="J24" s="322"/>
      <c r="K24" s="248" t="s">
        <v>24</v>
      </c>
      <c r="L24" s="315"/>
      <c r="M24" s="435">
        <f t="shared" si="3"/>
        <v>0</v>
      </c>
    </row>
    <row r="25" spans="1:13" ht="17.25" customHeight="1">
      <c r="A25" s="316"/>
      <c r="B25" s="248">
        <v>3110</v>
      </c>
      <c r="C25" s="310"/>
      <c r="D25" s="313" t="s">
        <v>373</v>
      </c>
      <c r="E25" s="315"/>
      <c r="F25" s="435">
        <f t="shared" si="2"/>
        <v>0</v>
      </c>
      <c r="H25" s="316"/>
      <c r="I25" s="321"/>
      <c r="J25" s="322"/>
      <c r="K25" s="248" t="s">
        <v>24</v>
      </c>
      <c r="L25" s="315"/>
      <c r="M25" s="435">
        <f t="shared" si="3"/>
        <v>0</v>
      </c>
    </row>
    <row r="26" spans="1:13" ht="17.25" customHeight="1">
      <c r="A26" s="735" t="s">
        <v>153</v>
      </c>
      <c r="B26" s="249">
        <v>3110</v>
      </c>
      <c r="C26" s="335"/>
      <c r="D26" s="346"/>
      <c r="E26" s="345"/>
      <c r="F26" s="465"/>
      <c r="H26" s="316"/>
      <c r="I26" s="321"/>
      <c r="J26" s="322"/>
      <c r="K26" s="248" t="s">
        <v>24</v>
      </c>
      <c r="L26" s="315"/>
      <c r="M26" s="435">
        <f t="shared" si="3"/>
        <v>0</v>
      </c>
    </row>
    <row r="27" spans="1:13" ht="17.25" customHeight="1">
      <c r="A27" s="1137" t="s">
        <v>154</v>
      </c>
      <c r="B27" s="1137"/>
      <c r="C27" s="1137"/>
      <c r="D27" s="1137"/>
      <c r="E27" s="1137"/>
      <c r="F27" s="1137"/>
      <c r="H27" s="347"/>
      <c r="I27" s="324"/>
      <c r="J27" s="335"/>
      <c r="K27" s="344"/>
      <c r="L27" s="335"/>
      <c r="M27" s="465"/>
    </row>
    <row r="28" spans="1:13" ht="17.25" customHeight="1">
      <c r="A28" s="331"/>
      <c r="B28" s="246">
        <v>3120</v>
      </c>
      <c r="C28" s="320"/>
      <c r="D28" s="246" t="s">
        <v>24</v>
      </c>
      <c r="E28" s="329"/>
      <c r="F28" s="435">
        <f aca="true" t="shared" si="4" ref="F28:F33">ROUNDUP(C28*E28,0)</f>
        <v>0</v>
      </c>
      <c r="H28" s="1137" t="s">
        <v>157</v>
      </c>
      <c r="I28" s="1137"/>
      <c r="J28" s="1137"/>
      <c r="K28" s="1137"/>
      <c r="L28" s="1137"/>
      <c r="M28" s="1137"/>
    </row>
    <row r="29" spans="1:13" ht="17.25" customHeight="1">
      <c r="A29" s="316"/>
      <c r="B29" s="248">
        <v>3120</v>
      </c>
      <c r="C29" s="322"/>
      <c r="D29" s="248" t="s">
        <v>24</v>
      </c>
      <c r="E29" s="315"/>
      <c r="F29" s="435">
        <f t="shared" si="4"/>
        <v>0</v>
      </c>
      <c r="H29" s="306" t="s">
        <v>160</v>
      </c>
      <c r="I29" s="336">
        <v>3300</v>
      </c>
      <c r="J29" s="320"/>
      <c r="K29" s="246" t="s">
        <v>106</v>
      </c>
      <c r="L29" s="329"/>
      <c r="M29" s="435">
        <f aca="true" t="shared" si="5" ref="M29:M42">ROUNDUP(J29*L29,0)</f>
        <v>0</v>
      </c>
    </row>
    <row r="30" spans="1:13" ht="17.25" customHeight="1">
      <c r="A30" s="316"/>
      <c r="B30" s="248">
        <v>3120</v>
      </c>
      <c r="C30" s="322"/>
      <c r="D30" s="248" t="s">
        <v>24</v>
      </c>
      <c r="E30" s="315"/>
      <c r="F30" s="435">
        <f t="shared" si="4"/>
        <v>0</v>
      </c>
      <c r="H30" s="309" t="s">
        <v>161</v>
      </c>
      <c r="I30" s="338">
        <v>3300</v>
      </c>
      <c r="J30" s="322"/>
      <c r="K30" s="248" t="s">
        <v>106</v>
      </c>
      <c r="L30" s="315"/>
      <c r="M30" s="435">
        <f t="shared" si="5"/>
        <v>0</v>
      </c>
    </row>
    <row r="31" spans="1:13" ht="17.25" customHeight="1">
      <c r="A31" s="316"/>
      <c r="B31" s="248">
        <v>3120</v>
      </c>
      <c r="C31" s="322"/>
      <c r="D31" s="248" t="s">
        <v>106</v>
      </c>
      <c r="E31" s="315"/>
      <c r="F31" s="435">
        <f t="shared" si="4"/>
        <v>0</v>
      </c>
      <c r="H31" s="309" t="s">
        <v>162</v>
      </c>
      <c r="I31" s="338">
        <v>3300</v>
      </c>
      <c r="J31" s="322"/>
      <c r="K31" s="248" t="s">
        <v>106</v>
      </c>
      <c r="L31" s="315"/>
      <c r="M31" s="435">
        <f t="shared" si="5"/>
        <v>0</v>
      </c>
    </row>
    <row r="32" spans="1:13" ht="17.25" customHeight="1">
      <c r="A32" s="316"/>
      <c r="B32" s="248">
        <v>3120</v>
      </c>
      <c r="C32" s="322"/>
      <c r="D32" s="248" t="s">
        <v>106</v>
      </c>
      <c r="E32" s="315"/>
      <c r="F32" s="435">
        <f t="shared" si="4"/>
        <v>0</v>
      </c>
      <c r="H32" s="309" t="s">
        <v>163</v>
      </c>
      <c r="I32" s="338">
        <v>3300</v>
      </c>
      <c r="J32" s="322"/>
      <c r="K32" s="248" t="s">
        <v>24</v>
      </c>
      <c r="L32" s="315"/>
      <c r="M32" s="435">
        <f t="shared" si="5"/>
        <v>0</v>
      </c>
    </row>
    <row r="33" spans="1:13" ht="17.25" customHeight="1">
      <c r="A33" s="316"/>
      <c r="B33" s="248">
        <v>3120</v>
      </c>
      <c r="C33" s="322"/>
      <c r="D33" s="248" t="s">
        <v>106</v>
      </c>
      <c r="E33" s="315"/>
      <c r="F33" s="435">
        <f t="shared" si="4"/>
        <v>0</v>
      </c>
      <c r="H33" s="316"/>
      <c r="I33" s="338"/>
      <c r="J33" s="322"/>
      <c r="K33" s="314"/>
      <c r="L33" s="315"/>
      <c r="M33" s="435">
        <f t="shared" si="5"/>
        <v>0</v>
      </c>
    </row>
    <row r="34" spans="1:13" ht="17.25" customHeight="1">
      <c r="A34" s="735" t="s">
        <v>159</v>
      </c>
      <c r="B34" s="249">
        <v>3120</v>
      </c>
      <c r="C34" s="343"/>
      <c r="D34" s="249"/>
      <c r="E34" s="345"/>
      <c r="F34" s="465"/>
      <c r="H34" s="316"/>
      <c r="I34" s="338"/>
      <c r="J34" s="322"/>
      <c r="K34" s="314"/>
      <c r="L34" s="315"/>
      <c r="M34" s="435">
        <f t="shared" si="5"/>
        <v>0</v>
      </c>
    </row>
    <row r="35" spans="1:13" ht="17.25" customHeight="1">
      <c r="A35" s="1137" t="s">
        <v>158</v>
      </c>
      <c r="B35" s="1137"/>
      <c r="C35" s="1137"/>
      <c r="D35" s="1137"/>
      <c r="E35" s="1137"/>
      <c r="F35" s="1137"/>
      <c r="H35" s="309" t="s">
        <v>164</v>
      </c>
      <c r="I35" s="338">
        <v>3510</v>
      </c>
      <c r="J35" s="322"/>
      <c r="K35" s="248" t="s">
        <v>106</v>
      </c>
      <c r="L35" s="315"/>
      <c r="M35" s="435">
        <f t="shared" si="5"/>
        <v>0</v>
      </c>
    </row>
    <row r="36" spans="1:13" ht="17.25" customHeight="1">
      <c r="A36" s="331"/>
      <c r="B36" s="246">
        <v>3200</v>
      </c>
      <c r="C36" s="320"/>
      <c r="D36" s="246" t="s">
        <v>5</v>
      </c>
      <c r="E36" s="329"/>
      <c r="F36" s="435">
        <f aca="true" t="shared" si="6" ref="F36:F44">ROUNDUP(C36*E36,0)</f>
        <v>0</v>
      </c>
      <c r="H36" s="309" t="s">
        <v>407</v>
      </c>
      <c r="I36" s="338">
        <v>3510</v>
      </c>
      <c r="J36" s="322"/>
      <c r="K36" s="248" t="s">
        <v>107</v>
      </c>
      <c r="L36" s="315"/>
      <c r="M36" s="435">
        <f t="shared" si="5"/>
        <v>0</v>
      </c>
    </row>
    <row r="37" spans="1:13" ht="17.25" customHeight="1">
      <c r="A37" s="316"/>
      <c r="B37" s="248">
        <v>3200</v>
      </c>
      <c r="C37" s="322"/>
      <c r="D37" s="248" t="s">
        <v>5</v>
      </c>
      <c r="E37" s="315"/>
      <c r="F37" s="435">
        <f t="shared" si="6"/>
        <v>0</v>
      </c>
      <c r="H37" s="476" t="s">
        <v>405</v>
      </c>
      <c r="I37" s="248">
        <v>3510</v>
      </c>
      <c r="J37" s="322"/>
      <c r="K37" s="477" t="s">
        <v>406</v>
      </c>
      <c r="L37" s="315"/>
      <c r="M37" s="435">
        <f t="shared" si="5"/>
        <v>0</v>
      </c>
    </row>
    <row r="38" spans="1:13" ht="17.25" customHeight="1">
      <c r="A38" s="316"/>
      <c r="B38" s="248">
        <v>3200</v>
      </c>
      <c r="C38" s="322"/>
      <c r="D38" s="248" t="s">
        <v>5</v>
      </c>
      <c r="E38" s="315"/>
      <c r="F38" s="435">
        <f t="shared" si="6"/>
        <v>0</v>
      </c>
      <c r="H38" s="316"/>
      <c r="I38" s="248"/>
      <c r="J38" s="341"/>
      <c r="K38" s="314"/>
      <c r="L38" s="315"/>
      <c r="M38" s="435">
        <f t="shared" si="5"/>
        <v>0</v>
      </c>
    </row>
    <row r="39" spans="1:13" ht="17.25" customHeight="1">
      <c r="A39" s="316"/>
      <c r="B39" s="248">
        <v>3200</v>
      </c>
      <c r="C39" s="322"/>
      <c r="D39" s="248" t="s">
        <v>5</v>
      </c>
      <c r="E39" s="315"/>
      <c r="F39" s="435">
        <f t="shared" si="6"/>
        <v>0</v>
      </c>
      <c r="H39" s="309" t="s">
        <v>408</v>
      </c>
      <c r="I39" s="248">
        <v>3220</v>
      </c>
      <c r="J39" s="322"/>
      <c r="K39" s="248" t="s">
        <v>5</v>
      </c>
      <c r="L39" s="315"/>
      <c r="M39" s="435">
        <f t="shared" si="5"/>
        <v>0</v>
      </c>
    </row>
    <row r="40" spans="1:13" ht="17.25" customHeight="1">
      <c r="A40" s="316"/>
      <c r="B40" s="248">
        <v>3200</v>
      </c>
      <c r="C40" s="322"/>
      <c r="D40" s="248" t="s">
        <v>5</v>
      </c>
      <c r="E40" s="315"/>
      <c r="F40" s="435">
        <f t="shared" si="6"/>
        <v>0</v>
      </c>
      <c r="H40" s="316"/>
      <c r="I40" s="248"/>
      <c r="J40" s="341"/>
      <c r="K40" s="314"/>
      <c r="L40" s="315"/>
      <c r="M40" s="435">
        <f t="shared" si="5"/>
        <v>0</v>
      </c>
    </row>
    <row r="41" spans="1:13" ht="17.25" customHeight="1">
      <c r="A41" s="316"/>
      <c r="B41" s="248">
        <v>3200</v>
      </c>
      <c r="C41" s="322"/>
      <c r="D41" s="248" t="s">
        <v>5</v>
      </c>
      <c r="E41" s="315"/>
      <c r="F41" s="435">
        <f t="shared" si="6"/>
        <v>0</v>
      </c>
      <c r="H41" s="348" t="s">
        <v>420</v>
      </c>
      <c r="I41" s="248">
        <v>3210</v>
      </c>
      <c r="J41" s="341"/>
      <c r="K41" s="248" t="s">
        <v>5</v>
      </c>
      <c r="L41" s="315"/>
      <c r="M41" s="435">
        <f t="shared" si="5"/>
        <v>0</v>
      </c>
    </row>
    <row r="42" spans="1:13" ht="17.25" customHeight="1">
      <c r="A42" s="316"/>
      <c r="B42" s="248">
        <v>3200</v>
      </c>
      <c r="C42" s="322"/>
      <c r="D42" s="248" t="s">
        <v>24</v>
      </c>
      <c r="E42" s="315"/>
      <c r="F42" s="435">
        <f t="shared" si="6"/>
        <v>0</v>
      </c>
      <c r="H42" s="348" t="s">
        <v>409</v>
      </c>
      <c r="I42" s="248">
        <v>3210</v>
      </c>
      <c r="J42" s="341"/>
      <c r="K42" s="248" t="s">
        <v>80</v>
      </c>
      <c r="L42" s="315"/>
      <c r="M42" s="435">
        <f t="shared" si="5"/>
        <v>0</v>
      </c>
    </row>
    <row r="43" spans="1:13" ht="17.25" customHeight="1">
      <c r="A43" s="316"/>
      <c r="B43" s="248">
        <v>3200</v>
      </c>
      <c r="C43" s="322"/>
      <c r="D43" s="248" t="s">
        <v>24</v>
      </c>
      <c r="E43" s="315"/>
      <c r="F43" s="435">
        <f t="shared" si="6"/>
        <v>0</v>
      </c>
      <c r="H43" s="347"/>
      <c r="I43" s="249"/>
      <c r="J43" s="335"/>
      <c r="K43" s="349"/>
      <c r="L43" s="335"/>
      <c r="M43" s="465"/>
    </row>
    <row r="44" spans="1:13" ht="17.25" customHeight="1">
      <c r="A44" s="316"/>
      <c r="B44" s="248">
        <v>3200</v>
      </c>
      <c r="C44" s="322"/>
      <c r="D44" s="248" t="s">
        <v>24</v>
      </c>
      <c r="E44" s="315"/>
      <c r="F44" s="435">
        <f t="shared" si="6"/>
        <v>0</v>
      </c>
      <c r="H44" s="1148" t="s">
        <v>374</v>
      </c>
      <c r="I44" s="1149"/>
      <c r="J44" s="1149"/>
      <c r="K44" s="1149"/>
      <c r="L44" s="1149"/>
      <c r="M44" s="1150"/>
    </row>
    <row r="45" spans="1:13" ht="17.25" customHeight="1" thickBot="1">
      <c r="A45" s="735" t="s">
        <v>360</v>
      </c>
      <c r="B45" s="249">
        <v>3200</v>
      </c>
      <c r="C45" s="335"/>
      <c r="D45" s="344"/>
      <c r="E45" s="335"/>
      <c r="F45" s="465"/>
      <c r="H45" s="1155" t="s">
        <v>500</v>
      </c>
      <c r="I45" s="1156"/>
      <c r="J45" s="1156"/>
      <c r="K45" s="1156"/>
      <c r="L45" s="1157"/>
      <c r="M45" s="1158"/>
    </row>
    <row r="46" spans="1:13" ht="21" customHeight="1" thickBot="1">
      <c r="A46" s="1136" t="s">
        <v>103</v>
      </c>
      <c r="B46" s="1134"/>
      <c r="C46" s="1134"/>
      <c r="D46" s="1134"/>
      <c r="E46" s="1135"/>
      <c r="F46" s="436">
        <f>SUM(F9:F18)+SUM(F20:F26)+SUM(F28:F34)+SUM(F36:F45)</f>
        <v>0</v>
      </c>
      <c r="H46" s="1151" t="s">
        <v>518</v>
      </c>
      <c r="I46" s="1152"/>
      <c r="J46" s="1152"/>
      <c r="K46" s="1152"/>
      <c r="L46" s="1153">
        <f>SUM(F9+F10+F11+F12+F13+F14+F15+F16+F17+F18+F20+F21+F22+F23+F24+F25+F26+F28+F29+F30+F31+F32+F33+F34+F36+F37+F38+F39+F40+F41+F42+F43+F44+F45+M10+M11+M12+M13+M14+M15+M16+M17+M18+M20+M21+M22+M23+M24+M25+M26+M27+M29+M30+M31+M32+M33+M34+M35+M36+M37+M38+M39+M40+M41+M42+M43)</f>
        <v>0</v>
      </c>
      <c r="M46" s="1154"/>
    </row>
    <row r="47" spans="1:13" ht="12.75">
      <c r="A47" s="25"/>
      <c r="B47" s="39"/>
      <c r="M47" s="129"/>
    </row>
  </sheetData>
  <sheetProtection sheet="1"/>
  <mergeCells count="18">
    <mergeCell ref="H4:M4"/>
    <mergeCell ref="J7:K7"/>
    <mergeCell ref="A46:E46"/>
    <mergeCell ref="H46:K46"/>
    <mergeCell ref="H19:M19"/>
    <mergeCell ref="A27:F27"/>
    <mergeCell ref="H28:M28"/>
    <mergeCell ref="A19:F19"/>
    <mergeCell ref="L46:M46"/>
    <mergeCell ref="H45:M45"/>
    <mergeCell ref="H44:M44"/>
    <mergeCell ref="A8:F8"/>
    <mergeCell ref="H8:L8"/>
    <mergeCell ref="H9:M9"/>
    <mergeCell ref="A7:B7"/>
    <mergeCell ref="C7:D7"/>
    <mergeCell ref="H7:I7"/>
    <mergeCell ref="A35:F35"/>
  </mergeCells>
  <printOptions/>
  <pageMargins left="0.3937007874015748" right="0.11811023622047245" top="0.3937007874015748" bottom="0.3937007874015748" header="0.3937007874015748" footer="0.3937007874015748"/>
  <pageSetup blackAndWhite="1" horizontalDpi="600" verticalDpi="600" orientation="portrait" paperSize="9" r:id="rId2"/>
  <headerFooter alignWithMargins="0">
    <oddFooter>&amp;C&amp;8(C) Lerch Treuhand AG, Itingen</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D14"/>
  <sheetViews>
    <sheetView showGridLines="0" zoomScale="70" zoomScaleNormal="70" zoomScalePageLayoutView="0" workbookViewId="0" topLeftCell="A1">
      <selection activeCell="J19" sqref="J19"/>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245" t="s">
        <v>395</v>
      </c>
    </row>
    <row r="2" ht="14.25">
      <c r="D2" s="245" t="s">
        <v>397</v>
      </c>
    </row>
    <row r="3" ht="14.25">
      <c r="D3" s="245" t="s">
        <v>396</v>
      </c>
    </row>
    <row r="4" ht="12.75"/>
    <row r="5" ht="25.5" customHeight="1"/>
    <row r="6" spans="1:4" ht="35.25">
      <c r="A6" s="506" t="s">
        <v>425</v>
      </c>
      <c r="D6" s="572">
        <v>43830</v>
      </c>
    </row>
    <row r="7" spans="2:3" ht="21.75" customHeight="1">
      <c r="B7" s="506"/>
      <c r="C7" s="506"/>
    </row>
    <row r="8" ht="18">
      <c r="A8" s="507" t="s">
        <v>503</v>
      </c>
    </row>
    <row r="10" ht="246" customHeight="1"/>
    <row r="11" ht="18">
      <c r="A11" s="507" t="s">
        <v>426</v>
      </c>
    </row>
    <row r="13" ht="154.5" customHeight="1"/>
    <row r="14" ht="22.5" customHeight="1">
      <c r="A14" s="507" t="s">
        <v>427</v>
      </c>
    </row>
  </sheetData>
  <sheetProtection sheet="1"/>
  <printOptions/>
  <pageMargins left="0.7874015748031497" right="0.5905511811023623" top="0.4724409448818898" bottom="0.4330708661417323" header="0.31496062992125984" footer="0.31496062992125984"/>
  <pageSetup blackAndWhite="1" horizontalDpi="600" verticalDpi="600" orientation="portrait" paperSize="9" r:id="rId2"/>
  <headerFooter alignWithMargins="0">
    <oddFooter>&amp;C&amp;8(C) Lerch Treuhand AG, Itingen</oddFooter>
  </headerFooter>
  <drawing r:id="rId1"/>
</worksheet>
</file>

<file path=xl/worksheets/sheet20.xml><?xml version="1.0" encoding="utf-8"?>
<worksheet xmlns="http://schemas.openxmlformats.org/spreadsheetml/2006/main" xmlns:r="http://schemas.openxmlformats.org/officeDocument/2006/relationships">
  <sheetPr codeName="Tabelle1">
    <tabColor indexed="10"/>
  </sheetPr>
  <dimension ref="A1:N50"/>
  <sheetViews>
    <sheetView showGridLines="0" showZeros="0" zoomScale="90" zoomScaleNormal="90" workbookViewId="0" topLeftCell="A1">
      <selection activeCell="L18" sqref="L18"/>
    </sheetView>
  </sheetViews>
  <sheetFormatPr defaultColWidth="11.421875" defaultRowHeight="12.75"/>
  <cols>
    <col min="1" max="1" width="22.28125" style="0" customWidth="1"/>
    <col min="2" max="2" width="6.8515625" style="16" customWidth="1"/>
    <col min="3" max="3" width="8.140625" style="0" customWidth="1"/>
    <col min="4" max="4" width="3.421875" style="0" bestFit="1" customWidth="1"/>
    <col min="5" max="5" width="10.00390625" style="0" customWidth="1"/>
    <col min="6" max="6" width="10.57421875" style="0" customWidth="1"/>
    <col min="7" max="7" width="8.140625" style="0" customWidth="1"/>
    <col min="8" max="8" width="3.421875" style="0" bestFit="1" customWidth="1"/>
    <col min="10" max="10" width="10.57421875" style="0" customWidth="1"/>
    <col min="16" max="16" width="10.8515625" style="0" customWidth="1"/>
  </cols>
  <sheetData>
    <row r="1" spans="1:14" ht="23.25">
      <c r="A1" s="790">
        <f>DECKBLATT!B14</f>
        <v>0</v>
      </c>
      <c r="B1" s="17"/>
      <c r="C1" s="2"/>
      <c r="D1" s="17"/>
      <c r="L1" s="40"/>
      <c r="N1" s="41"/>
    </row>
    <row r="2" spans="4:14" ht="9.75" customHeight="1">
      <c r="D2" s="33"/>
      <c r="F2" s="16"/>
      <c r="G2" s="16"/>
      <c r="L2" s="40"/>
      <c r="N2" s="41"/>
    </row>
    <row r="3" spans="1:14" ht="14.25">
      <c r="A3" s="22" t="s">
        <v>450</v>
      </c>
      <c r="F3" s="16"/>
      <c r="G3" s="16"/>
      <c r="J3" s="15"/>
      <c r="L3" s="40"/>
      <c r="N3" s="15"/>
    </row>
    <row r="4" ht="14.25">
      <c r="A4" s="22" t="s">
        <v>451</v>
      </c>
    </row>
    <row r="5" ht="9" customHeight="1">
      <c r="A5" s="22"/>
    </row>
    <row r="6" spans="1:11" ht="26.25">
      <c r="A6" s="556" t="s">
        <v>270</v>
      </c>
      <c r="B6" s="34"/>
      <c r="C6" s="5"/>
      <c r="I6" s="957">
        <f>DECKBLATT!B11</f>
        <v>43830</v>
      </c>
      <c r="J6" s="957"/>
      <c r="K6" s="508"/>
    </row>
    <row r="7" spans="1:11" ht="8.25" customHeight="1" thickBot="1">
      <c r="A7" s="5"/>
      <c r="B7" s="34"/>
      <c r="C7" s="5"/>
      <c r="I7" s="505"/>
      <c r="J7" s="505"/>
      <c r="K7" s="508"/>
    </row>
    <row r="8" spans="1:14" ht="12.75">
      <c r="A8" s="359"/>
      <c r="B8" s="360"/>
      <c r="C8" s="361"/>
      <c r="D8" s="362"/>
      <c r="E8" s="362"/>
      <c r="F8" s="363"/>
      <c r="G8" s="366"/>
      <c r="H8" s="367"/>
      <c r="I8" s="368" t="s">
        <v>361</v>
      </c>
      <c r="J8" s="369"/>
      <c r="K8" s="1171"/>
      <c r="L8" s="1171"/>
      <c r="M8" s="1171"/>
      <c r="N8" s="1171"/>
    </row>
    <row r="9" spans="1:11" ht="15.75" customHeight="1">
      <c r="A9" s="1162" t="s">
        <v>165</v>
      </c>
      <c r="B9" s="1163"/>
      <c r="C9" s="1159" t="s">
        <v>166</v>
      </c>
      <c r="D9" s="1160"/>
      <c r="E9" s="1160"/>
      <c r="F9" s="1161"/>
      <c r="G9" s="370"/>
      <c r="H9" s="196"/>
      <c r="I9" s="1166" t="s">
        <v>362</v>
      </c>
      <c r="J9" s="1167"/>
      <c r="K9" s="42"/>
    </row>
    <row r="10" spans="1:11" ht="16.5" customHeight="1" thickBot="1">
      <c r="A10" s="1164"/>
      <c r="B10" s="1165"/>
      <c r="C10" s="1184" t="s">
        <v>1</v>
      </c>
      <c r="D10" s="1178"/>
      <c r="E10" s="364" t="s">
        <v>2</v>
      </c>
      <c r="F10" s="365" t="s">
        <v>167</v>
      </c>
      <c r="G10" s="1177" t="s">
        <v>1</v>
      </c>
      <c r="H10" s="1178"/>
      <c r="I10" s="364" t="s">
        <v>2</v>
      </c>
      <c r="J10" s="365" t="s">
        <v>167</v>
      </c>
      <c r="K10" s="42"/>
    </row>
    <row r="11" spans="1:11" ht="16.5" customHeight="1" thickBot="1">
      <c r="A11" s="1181" t="s">
        <v>336</v>
      </c>
      <c r="B11" s="1182"/>
      <c r="C11" s="1182"/>
      <c r="D11" s="1182"/>
      <c r="E11" s="1182"/>
      <c r="F11" s="1182"/>
      <c r="G11" s="1182"/>
      <c r="H11" s="1182"/>
      <c r="I11" s="1182"/>
      <c r="J11" s="1183"/>
      <c r="K11" s="42"/>
    </row>
    <row r="12" spans="1:11" ht="17.25" customHeight="1">
      <c r="A12" s="371" t="s">
        <v>174</v>
      </c>
      <c r="B12" s="372">
        <v>4000</v>
      </c>
      <c r="C12" s="373"/>
      <c r="D12" s="374" t="s">
        <v>24</v>
      </c>
      <c r="E12" s="375">
        <v>0.5</v>
      </c>
      <c r="F12" s="376">
        <f>(C12*E12)</f>
        <v>0</v>
      </c>
      <c r="G12" s="484"/>
      <c r="H12" s="374" t="s">
        <v>24</v>
      </c>
      <c r="I12" s="390">
        <f>E12</f>
        <v>0.5</v>
      </c>
      <c r="J12" s="376">
        <f>(G12*I12)</f>
        <v>0</v>
      </c>
      <c r="K12" s="42"/>
    </row>
    <row r="13" spans="1:11" ht="17.25" customHeight="1">
      <c r="A13" s="377" t="s">
        <v>175</v>
      </c>
      <c r="B13" s="252">
        <v>4100</v>
      </c>
      <c r="C13" s="350"/>
      <c r="D13" s="248" t="s">
        <v>24</v>
      </c>
      <c r="E13" s="351">
        <v>1.5</v>
      </c>
      <c r="F13" s="378">
        <f>(C13*E13)</f>
        <v>0</v>
      </c>
      <c r="G13" s="485"/>
      <c r="H13" s="248" t="s">
        <v>24</v>
      </c>
      <c r="I13" s="352">
        <f>E13</f>
        <v>1.5</v>
      </c>
      <c r="J13" s="378">
        <f>(G13*I13)</f>
        <v>0</v>
      </c>
      <c r="K13" s="42"/>
    </row>
    <row r="14" spans="1:11" ht="17.25" customHeight="1" thickBot="1">
      <c r="A14" s="379"/>
      <c r="B14" s="380"/>
      <c r="C14" s="381"/>
      <c r="D14" s="382" t="s">
        <v>24</v>
      </c>
      <c r="E14" s="383"/>
      <c r="F14" s="384">
        <f>(C14*E14)</f>
        <v>0</v>
      </c>
      <c r="G14" s="486"/>
      <c r="H14" s="382" t="s">
        <v>24</v>
      </c>
      <c r="I14" s="487"/>
      <c r="J14" s="384">
        <f>(G14*I14)</f>
        <v>0</v>
      </c>
      <c r="K14" s="42"/>
    </row>
    <row r="15" spans="1:11" ht="17.25" customHeight="1" thickBot="1">
      <c r="A15" s="1181" t="s">
        <v>168</v>
      </c>
      <c r="B15" s="1182"/>
      <c r="C15" s="1182"/>
      <c r="D15" s="1182"/>
      <c r="E15" s="1182"/>
      <c r="F15" s="1182"/>
      <c r="G15" s="1182"/>
      <c r="H15" s="1182"/>
      <c r="I15" s="1182"/>
      <c r="J15" s="1183"/>
      <c r="K15" s="42"/>
    </row>
    <row r="16" spans="1:11" ht="17.25" customHeight="1">
      <c r="A16" s="371" t="s">
        <v>176</v>
      </c>
      <c r="B16" s="372">
        <v>4230</v>
      </c>
      <c r="C16" s="373"/>
      <c r="D16" s="374" t="s">
        <v>24</v>
      </c>
      <c r="E16" s="375">
        <v>3</v>
      </c>
      <c r="F16" s="376">
        <f>(C16*E16)</f>
        <v>0</v>
      </c>
      <c r="G16" s="484"/>
      <c r="H16" s="374" t="s">
        <v>24</v>
      </c>
      <c r="I16" s="375">
        <f aca="true" t="shared" si="0" ref="I16:I21">E16</f>
        <v>3</v>
      </c>
      <c r="J16" s="376">
        <f>(G16*I16)</f>
        <v>0</v>
      </c>
      <c r="K16" s="42"/>
    </row>
    <row r="17" spans="1:11" ht="17.25" customHeight="1">
      <c r="A17" s="377" t="s">
        <v>177</v>
      </c>
      <c r="B17" s="252">
        <v>4230</v>
      </c>
      <c r="C17" s="350"/>
      <c r="D17" s="248" t="s">
        <v>24</v>
      </c>
      <c r="E17" s="351">
        <v>7</v>
      </c>
      <c r="F17" s="378">
        <f aca="true" t="shared" si="1" ref="F17:F22">(C17*E17)</f>
        <v>0</v>
      </c>
      <c r="G17" s="485"/>
      <c r="H17" s="248" t="s">
        <v>24</v>
      </c>
      <c r="I17" s="351">
        <f t="shared" si="0"/>
        <v>7</v>
      </c>
      <c r="J17" s="378">
        <f aca="true" t="shared" si="2" ref="J17:J22">(G17*I17)</f>
        <v>0</v>
      </c>
      <c r="K17" s="42"/>
    </row>
    <row r="18" spans="1:11" ht="17.25" customHeight="1">
      <c r="A18" s="377" t="s">
        <v>178</v>
      </c>
      <c r="B18" s="252">
        <v>4230</v>
      </c>
      <c r="C18" s="350"/>
      <c r="D18" s="248" t="s">
        <v>24</v>
      </c>
      <c r="E18" s="351">
        <v>2</v>
      </c>
      <c r="F18" s="378">
        <f t="shared" si="1"/>
        <v>0</v>
      </c>
      <c r="G18" s="485"/>
      <c r="H18" s="248" t="s">
        <v>24</v>
      </c>
      <c r="I18" s="351">
        <f t="shared" si="0"/>
        <v>2</v>
      </c>
      <c r="J18" s="378">
        <f t="shared" si="2"/>
        <v>0</v>
      </c>
      <c r="K18" s="42"/>
    </row>
    <row r="19" spans="1:11" ht="17.25" customHeight="1">
      <c r="A19" s="377" t="s">
        <v>179</v>
      </c>
      <c r="B19" s="252">
        <v>4230</v>
      </c>
      <c r="C19" s="350"/>
      <c r="D19" s="252" t="s">
        <v>106</v>
      </c>
      <c r="E19" s="351">
        <v>2</v>
      </c>
      <c r="F19" s="378">
        <f t="shared" si="1"/>
        <v>0</v>
      </c>
      <c r="G19" s="485"/>
      <c r="H19" s="252" t="s">
        <v>106</v>
      </c>
      <c r="I19" s="351">
        <f t="shared" si="0"/>
        <v>2</v>
      </c>
      <c r="J19" s="378">
        <f t="shared" si="2"/>
        <v>0</v>
      </c>
      <c r="K19" s="42"/>
    </row>
    <row r="20" spans="1:11" ht="17.25" customHeight="1">
      <c r="A20" s="377" t="s">
        <v>339</v>
      </c>
      <c r="B20" s="252">
        <v>4230</v>
      </c>
      <c r="C20" s="350"/>
      <c r="D20" s="252" t="s">
        <v>106</v>
      </c>
      <c r="E20" s="351">
        <v>18</v>
      </c>
      <c r="F20" s="378">
        <f t="shared" si="1"/>
        <v>0</v>
      </c>
      <c r="G20" s="485"/>
      <c r="H20" s="252" t="s">
        <v>106</v>
      </c>
      <c r="I20" s="351">
        <f t="shared" si="0"/>
        <v>18</v>
      </c>
      <c r="J20" s="378">
        <f t="shared" si="2"/>
        <v>0</v>
      </c>
      <c r="K20" s="42"/>
    </row>
    <row r="21" spans="1:11" ht="17.25" customHeight="1">
      <c r="A21" s="377" t="s">
        <v>399</v>
      </c>
      <c r="B21" s="252">
        <v>4230</v>
      </c>
      <c r="C21" s="350"/>
      <c r="D21" s="252" t="s">
        <v>106</v>
      </c>
      <c r="E21" s="351">
        <v>17</v>
      </c>
      <c r="F21" s="378">
        <f t="shared" si="1"/>
        <v>0</v>
      </c>
      <c r="G21" s="485"/>
      <c r="H21" s="252" t="s">
        <v>106</v>
      </c>
      <c r="I21" s="351">
        <f t="shared" si="0"/>
        <v>17</v>
      </c>
      <c r="J21" s="378">
        <f t="shared" si="2"/>
        <v>0</v>
      </c>
      <c r="K21" s="42"/>
    </row>
    <row r="22" spans="1:11" ht="17.25" customHeight="1">
      <c r="A22" s="385"/>
      <c r="B22" s="353"/>
      <c r="C22" s="350"/>
      <c r="D22" s="252" t="s">
        <v>106</v>
      </c>
      <c r="E22" s="354"/>
      <c r="F22" s="378">
        <f t="shared" si="1"/>
        <v>0</v>
      </c>
      <c r="G22" s="485"/>
      <c r="H22" s="252" t="s">
        <v>106</v>
      </c>
      <c r="I22" s="354"/>
      <c r="J22" s="378">
        <f t="shared" si="2"/>
        <v>0</v>
      </c>
      <c r="K22" s="42"/>
    </row>
    <row r="23" spans="1:11" ht="17.25" customHeight="1" thickBot="1">
      <c r="A23" s="386" t="s">
        <v>180</v>
      </c>
      <c r="B23" s="387">
        <v>4230</v>
      </c>
      <c r="C23" s="388"/>
      <c r="D23" s="388"/>
      <c r="E23" s="389"/>
      <c r="F23" s="488"/>
      <c r="G23" s="1179"/>
      <c r="H23" s="1180"/>
      <c r="I23" s="1180"/>
      <c r="J23" s="488"/>
      <c r="K23" s="42"/>
    </row>
    <row r="24" spans="1:11" ht="17.25" customHeight="1" thickBot="1">
      <c r="A24" s="1181" t="s">
        <v>169</v>
      </c>
      <c r="B24" s="1182"/>
      <c r="C24" s="1182"/>
      <c r="D24" s="1182"/>
      <c r="E24" s="1182"/>
      <c r="F24" s="1182"/>
      <c r="G24" s="1182"/>
      <c r="H24" s="1182"/>
      <c r="I24" s="1182"/>
      <c r="J24" s="1183"/>
      <c r="K24" s="130"/>
    </row>
    <row r="25" spans="1:11" ht="17.25" customHeight="1">
      <c r="A25" s="371" t="s">
        <v>142</v>
      </c>
      <c r="B25" s="372">
        <v>4240</v>
      </c>
      <c r="C25" s="373"/>
      <c r="D25" s="391" t="s">
        <v>107</v>
      </c>
      <c r="E25" s="375">
        <v>70</v>
      </c>
      <c r="F25" s="376">
        <f aca="true" t="shared" si="3" ref="F25:F35">(C25*E25)</f>
        <v>0</v>
      </c>
      <c r="G25" s="484"/>
      <c r="H25" s="391" t="s">
        <v>107</v>
      </c>
      <c r="I25" s="375">
        <f>E25</f>
        <v>70</v>
      </c>
      <c r="J25" s="376">
        <f aca="true" t="shared" si="4" ref="J25:J35">(G25*I25)</f>
        <v>0</v>
      </c>
      <c r="K25" s="42"/>
    </row>
    <row r="26" spans="1:11" ht="17.25" customHeight="1">
      <c r="A26" s="377" t="s">
        <v>181</v>
      </c>
      <c r="B26" s="252">
        <v>4270</v>
      </c>
      <c r="C26" s="350"/>
      <c r="D26" s="265" t="s">
        <v>107</v>
      </c>
      <c r="E26" s="351">
        <v>70</v>
      </c>
      <c r="F26" s="378">
        <f t="shared" si="3"/>
        <v>0</v>
      </c>
      <c r="G26" s="485"/>
      <c r="H26" s="265" t="s">
        <v>107</v>
      </c>
      <c r="I26" s="351">
        <f>E26</f>
        <v>70</v>
      </c>
      <c r="J26" s="378">
        <f t="shared" si="4"/>
        <v>0</v>
      </c>
      <c r="K26" s="42"/>
    </row>
    <row r="27" spans="1:11" ht="17.25" customHeight="1">
      <c r="A27" s="377" t="s">
        <v>182</v>
      </c>
      <c r="B27" s="252">
        <v>4300</v>
      </c>
      <c r="C27" s="350"/>
      <c r="D27" s="252" t="s">
        <v>106</v>
      </c>
      <c r="E27" s="351">
        <v>1.2</v>
      </c>
      <c r="F27" s="378">
        <f t="shared" si="3"/>
        <v>0</v>
      </c>
      <c r="G27" s="485"/>
      <c r="H27" s="252" t="s">
        <v>106</v>
      </c>
      <c r="I27" s="351">
        <f>E27</f>
        <v>1.2</v>
      </c>
      <c r="J27" s="378">
        <f t="shared" si="4"/>
        <v>0</v>
      </c>
      <c r="K27" s="42"/>
    </row>
    <row r="28" spans="1:11" ht="17.25" customHeight="1">
      <c r="A28" s="392" t="s">
        <v>330</v>
      </c>
      <c r="B28" s="252">
        <v>4310</v>
      </c>
      <c r="C28" s="350"/>
      <c r="D28" s="265" t="s">
        <v>170</v>
      </c>
      <c r="E28" s="351">
        <v>1000</v>
      </c>
      <c r="F28" s="378">
        <f t="shared" si="3"/>
        <v>0</v>
      </c>
      <c r="G28" s="485"/>
      <c r="H28" s="265" t="s">
        <v>170</v>
      </c>
      <c r="I28" s="351">
        <v>1000</v>
      </c>
      <c r="J28" s="396">
        <f t="shared" si="4"/>
        <v>0</v>
      </c>
      <c r="K28" s="42"/>
    </row>
    <row r="29" spans="1:11" ht="17.25" customHeight="1">
      <c r="A29" s="392" t="s">
        <v>333</v>
      </c>
      <c r="B29" s="252">
        <v>4310</v>
      </c>
      <c r="C29" s="350"/>
      <c r="D29" s="355" t="s">
        <v>24</v>
      </c>
      <c r="E29" s="356">
        <v>30</v>
      </c>
      <c r="F29" s="378">
        <f t="shared" si="3"/>
        <v>0</v>
      </c>
      <c r="G29" s="485"/>
      <c r="H29" s="355" t="s">
        <v>24</v>
      </c>
      <c r="I29" s="356">
        <f>E29</f>
        <v>30</v>
      </c>
      <c r="J29" s="378">
        <f t="shared" si="4"/>
        <v>0</v>
      </c>
      <c r="K29" s="42"/>
    </row>
    <row r="30" spans="1:11" ht="17.25" customHeight="1">
      <c r="A30" s="392" t="s">
        <v>331</v>
      </c>
      <c r="B30" s="252">
        <v>4310</v>
      </c>
      <c r="C30" s="350"/>
      <c r="D30" s="265" t="s">
        <v>170</v>
      </c>
      <c r="E30" s="351">
        <v>2000</v>
      </c>
      <c r="F30" s="378">
        <f t="shared" si="3"/>
        <v>0</v>
      </c>
      <c r="G30" s="485"/>
      <c r="H30" s="265" t="s">
        <v>170</v>
      </c>
      <c r="I30" s="356">
        <v>2000</v>
      </c>
      <c r="J30" s="378">
        <f t="shared" si="4"/>
        <v>0</v>
      </c>
      <c r="K30" s="42"/>
    </row>
    <row r="31" spans="1:11" ht="17.25" customHeight="1">
      <c r="A31" s="392" t="s">
        <v>334</v>
      </c>
      <c r="B31" s="252">
        <v>4310</v>
      </c>
      <c r="C31" s="350"/>
      <c r="D31" s="355" t="s">
        <v>24</v>
      </c>
      <c r="E31" s="356">
        <v>28</v>
      </c>
      <c r="F31" s="378">
        <f t="shared" si="3"/>
        <v>0</v>
      </c>
      <c r="G31" s="485"/>
      <c r="H31" s="355" t="s">
        <v>24</v>
      </c>
      <c r="I31" s="356">
        <f>E31</f>
        <v>28</v>
      </c>
      <c r="J31" s="378">
        <f t="shared" si="4"/>
        <v>0</v>
      </c>
      <c r="K31" s="42"/>
    </row>
    <row r="32" spans="1:11" ht="17.25" customHeight="1">
      <c r="A32" s="392" t="s">
        <v>292</v>
      </c>
      <c r="B32" s="252">
        <v>4310</v>
      </c>
      <c r="C32" s="350"/>
      <c r="D32" s="265" t="s">
        <v>80</v>
      </c>
      <c r="E32" s="356">
        <v>2000</v>
      </c>
      <c r="F32" s="378">
        <f t="shared" si="3"/>
        <v>0</v>
      </c>
      <c r="G32" s="485"/>
      <c r="H32" s="265" t="s">
        <v>170</v>
      </c>
      <c r="I32" s="356">
        <v>2000</v>
      </c>
      <c r="J32" s="378">
        <f t="shared" si="4"/>
        <v>0</v>
      </c>
      <c r="K32" s="42"/>
    </row>
    <row r="33" spans="1:11" ht="17.25" customHeight="1">
      <c r="A33" s="392" t="s">
        <v>348</v>
      </c>
      <c r="B33" s="252">
        <v>4310</v>
      </c>
      <c r="C33" s="350"/>
      <c r="D33" s="355" t="s">
        <v>24</v>
      </c>
      <c r="E33" s="351">
        <v>28</v>
      </c>
      <c r="F33" s="378">
        <f t="shared" si="3"/>
        <v>0</v>
      </c>
      <c r="G33" s="485"/>
      <c r="H33" s="355" t="s">
        <v>24</v>
      </c>
      <c r="I33" s="356">
        <f>E33</f>
        <v>28</v>
      </c>
      <c r="J33" s="378">
        <f t="shared" si="4"/>
        <v>0</v>
      </c>
      <c r="K33" s="42"/>
    </row>
    <row r="34" spans="1:11" ht="17.25" customHeight="1">
      <c r="A34" s="392" t="s">
        <v>332</v>
      </c>
      <c r="B34" s="252">
        <v>4410</v>
      </c>
      <c r="C34" s="350"/>
      <c r="D34" s="265" t="s">
        <v>80</v>
      </c>
      <c r="E34" s="351">
        <v>300</v>
      </c>
      <c r="F34" s="378">
        <f t="shared" si="3"/>
        <v>0</v>
      </c>
      <c r="G34" s="485"/>
      <c r="H34" s="265" t="s">
        <v>80</v>
      </c>
      <c r="I34" s="356">
        <v>300</v>
      </c>
      <c r="J34" s="378"/>
      <c r="K34" s="42"/>
    </row>
    <row r="35" spans="1:11" ht="17.25" customHeight="1" thickBot="1">
      <c r="A35" s="393" t="s">
        <v>335</v>
      </c>
      <c r="B35" s="387">
        <v>4410</v>
      </c>
      <c r="C35" s="381"/>
      <c r="D35" s="394" t="s">
        <v>24</v>
      </c>
      <c r="E35" s="395">
        <v>17</v>
      </c>
      <c r="F35" s="384">
        <f t="shared" si="3"/>
        <v>0</v>
      </c>
      <c r="G35" s="486"/>
      <c r="H35" s="394" t="s">
        <v>24</v>
      </c>
      <c r="I35" s="395">
        <f>E35</f>
        <v>17</v>
      </c>
      <c r="J35" s="384">
        <f t="shared" si="4"/>
        <v>0</v>
      </c>
      <c r="K35" s="42"/>
    </row>
    <row r="36" spans="1:11" ht="17.25" customHeight="1" thickBot="1">
      <c r="A36" s="1168" t="s">
        <v>171</v>
      </c>
      <c r="B36" s="1169"/>
      <c r="C36" s="1169"/>
      <c r="D36" s="1169"/>
      <c r="E36" s="1169"/>
      <c r="F36" s="1169"/>
      <c r="G36" s="1169"/>
      <c r="H36" s="1169"/>
      <c r="I36" s="1169"/>
      <c r="J36" s="1170"/>
      <c r="K36" s="42"/>
    </row>
    <row r="37" spans="1:11" ht="17.25" customHeight="1">
      <c r="A37" s="371" t="s">
        <v>183</v>
      </c>
      <c r="B37" s="372">
        <v>4440</v>
      </c>
      <c r="C37" s="373"/>
      <c r="D37" s="391" t="s">
        <v>170</v>
      </c>
      <c r="E37" s="397"/>
      <c r="F37" s="398">
        <f>(C37*E37)</f>
        <v>0</v>
      </c>
      <c r="G37" s="484"/>
      <c r="H37" s="391" t="s">
        <v>170</v>
      </c>
      <c r="I37" s="397"/>
      <c r="J37" s="376">
        <f>(G37*I37)</f>
        <v>0</v>
      </c>
      <c r="K37" s="42"/>
    </row>
    <row r="38" spans="1:11" ht="17.25" customHeight="1">
      <c r="A38" s="377" t="s">
        <v>184</v>
      </c>
      <c r="B38" s="252">
        <v>4450</v>
      </c>
      <c r="C38" s="350"/>
      <c r="D38" s="265" t="s">
        <v>170</v>
      </c>
      <c r="E38" s="351">
        <v>0.5</v>
      </c>
      <c r="F38" s="378">
        <f aca="true" t="shared" si="5" ref="F38:F45">(C38*E38)</f>
        <v>0</v>
      </c>
      <c r="G38" s="485"/>
      <c r="H38" s="265" t="s">
        <v>170</v>
      </c>
      <c r="I38" s="351">
        <f>E38</f>
        <v>0.5</v>
      </c>
      <c r="J38" s="378">
        <f aca="true" t="shared" si="6" ref="J38:J45">(G38*I38)</f>
        <v>0</v>
      </c>
      <c r="K38" s="42"/>
    </row>
    <row r="39" spans="1:11" ht="17.25" customHeight="1">
      <c r="A39" s="377" t="s">
        <v>186</v>
      </c>
      <c r="B39" s="252">
        <v>4250</v>
      </c>
      <c r="C39" s="350"/>
      <c r="D39" s="265" t="s">
        <v>106</v>
      </c>
      <c r="E39" s="351">
        <v>9</v>
      </c>
      <c r="F39" s="378">
        <f>(C39*E39)</f>
        <v>0</v>
      </c>
      <c r="G39" s="485"/>
      <c r="H39" s="265" t="s">
        <v>106</v>
      </c>
      <c r="I39" s="351">
        <v>9</v>
      </c>
      <c r="J39" s="378">
        <f>(G39*I39)</f>
        <v>0</v>
      </c>
      <c r="K39" s="42"/>
    </row>
    <row r="40" spans="1:11" ht="17.25" customHeight="1">
      <c r="A40" s="385"/>
      <c r="B40" s="353"/>
      <c r="C40" s="350"/>
      <c r="D40" s="314"/>
      <c r="E40" s="354"/>
      <c r="F40" s="378">
        <f t="shared" si="5"/>
        <v>0</v>
      </c>
      <c r="G40" s="485"/>
      <c r="H40" s="314"/>
      <c r="I40" s="354"/>
      <c r="J40" s="378">
        <f t="shared" si="6"/>
        <v>0</v>
      </c>
      <c r="K40" s="42"/>
    </row>
    <row r="41" spans="1:11" ht="17.25" customHeight="1">
      <c r="A41" s="377" t="s">
        <v>172</v>
      </c>
      <c r="B41" s="353"/>
      <c r="C41" s="350"/>
      <c r="D41" s="248" t="s">
        <v>24</v>
      </c>
      <c r="E41" s="351">
        <v>21</v>
      </c>
      <c r="F41" s="378">
        <f t="shared" si="5"/>
        <v>0</v>
      </c>
      <c r="G41" s="485"/>
      <c r="H41" s="248" t="s">
        <v>24</v>
      </c>
      <c r="I41" s="351">
        <f>E41</f>
        <v>21</v>
      </c>
      <c r="J41" s="378">
        <f t="shared" si="6"/>
        <v>0</v>
      </c>
      <c r="K41" s="42"/>
    </row>
    <row r="42" spans="1:11" ht="17.25" customHeight="1">
      <c r="A42" s="385"/>
      <c r="B42" s="353"/>
      <c r="C42" s="350"/>
      <c r="D42" s="314"/>
      <c r="E42" s="354"/>
      <c r="F42" s="378">
        <f t="shared" si="5"/>
        <v>0</v>
      </c>
      <c r="G42" s="485"/>
      <c r="H42" s="314"/>
      <c r="I42" s="354"/>
      <c r="J42" s="378">
        <f t="shared" si="6"/>
        <v>0</v>
      </c>
      <c r="K42" s="42"/>
    </row>
    <row r="43" spans="1:11" ht="17.25" customHeight="1">
      <c r="A43" s="377" t="s">
        <v>337</v>
      </c>
      <c r="B43" s="252">
        <v>4420</v>
      </c>
      <c r="C43" s="350"/>
      <c r="D43" s="248" t="s">
        <v>24</v>
      </c>
      <c r="E43" s="356">
        <v>20</v>
      </c>
      <c r="F43" s="378">
        <f t="shared" si="5"/>
        <v>0</v>
      </c>
      <c r="G43" s="485"/>
      <c r="H43" s="248" t="s">
        <v>24</v>
      </c>
      <c r="I43" s="351">
        <f>E43</f>
        <v>20</v>
      </c>
      <c r="J43" s="378">
        <f t="shared" si="6"/>
        <v>0</v>
      </c>
      <c r="K43" s="42"/>
    </row>
    <row r="44" spans="1:11" ht="17.25" customHeight="1">
      <c r="A44" s="377" t="s">
        <v>338</v>
      </c>
      <c r="B44" s="252">
        <v>4430</v>
      </c>
      <c r="C44" s="350"/>
      <c r="D44" s="248" t="s">
        <v>24</v>
      </c>
      <c r="E44" s="356">
        <v>20</v>
      </c>
      <c r="F44" s="378">
        <f t="shared" si="5"/>
        <v>0</v>
      </c>
      <c r="G44" s="485"/>
      <c r="H44" s="248" t="s">
        <v>24</v>
      </c>
      <c r="I44" s="351">
        <f>E44</f>
        <v>20</v>
      </c>
      <c r="J44" s="378">
        <f t="shared" si="6"/>
        <v>0</v>
      </c>
      <c r="K44" s="42"/>
    </row>
    <row r="45" spans="1:11" ht="17.25" customHeight="1" thickBot="1">
      <c r="A45" s="379"/>
      <c r="B45" s="380"/>
      <c r="C45" s="381"/>
      <c r="D45" s="381"/>
      <c r="E45" s="399"/>
      <c r="F45" s="384">
        <f t="shared" si="5"/>
        <v>0</v>
      </c>
      <c r="G45" s="486"/>
      <c r="H45" s="381"/>
      <c r="I45" s="383"/>
      <c r="J45" s="384">
        <f t="shared" si="6"/>
        <v>0</v>
      </c>
      <c r="K45" s="42"/>
    </row>
    <row r="46" spans="1:10" ht="9" customHeight="1" thickBot="1">
      <c r="A46" s="43"/>
      <c r="B46" s="44"/>
      <c r="C46" s="43"/>
      <c r="D46" s="18"/>
      <c r="E46" s="18"/>
      <c r="F46" s="18"/>
      <c r="G46" s="18"/>
      <c r="H46" s="18"/>
      <c r="I46" s="18"/>
      <c r="J46" s="18"/>
    </row>
    <row r="47" spans="1:10" ht="17.25" customHeight="1" thickBot="1">
      <c r="A47" s="175" t="s">
        <v>38</v>
      </c>
      <c r="B47" s="171"/>
      <c r="C47" s="197"/>
      <c r="D47" s="1175" t="s">
        <v>185</v>
      </c>
      <c r="E47" s="1176"/>
      <c r="F47" s="123">
        <f>SUM(F12:F14,F16:F23,F25:F35,F37:F45)</f>
        <v>0</v>
      </c>
      <c r="G47" s="198"/>
      <c r="H47" s="198"/>
      <c r="I47" s="218">
        <v>3640</v>
      </c>
      <c r="J47" s="123">
        <f>SUM(J12:J14,J16:J23,J25:J35,J37:J45)</f>
        <v>0</v>
      </c>
    </row>
    <row r="48" spans="1:9" ht="11.25" customHeight="1" thickBot="1">
      <c r="A48" s="26"/>
      <c r="B48" s="45"/>
      <c r="C48" s="26"/>
      <c r="D48" s="18"/>
      <c r="E48" s="18"/>
      <c r="F48" s="18"/>
      <c r="G48" s="18"/>
      <c r="H48" s="18"/>
      <c r="I48" s="18"/>
    </row>
    <row r="49" spans="1:10" ht="21" customHeight="1" thickBot="1">
      <c r="A49" s="1172" t="s">
        <v>173</v>
      </c>
      <c r="B49" s="1173"/>
      <c r="C49" s="1173"/>
      <c r="D49" s="1173"/>
      <c r="E49" s="1173"/>
      <c r="F49" s="1173"/>
      <c r="G49" s="1173"/>
      <c r="H49" s="1174"/>
      <c r="I49" s="357" t="s">
        <v>16</v>
      </c>
      <c r="J49" s="358"/>
    </row>
    <row r="50" spans="1:10" ht="5.25" customHeight="1">
      <c r="A50" s="18"/>
      <c r="B50" s="46"/>
      <c r="C50" s="18"/>
      <c r="D50" s="18"/>
      <c r="E50" s="18"/>
      <c r="F50" s="18"/>
      <c r="G50" s="18"/>
      <c r="H50" s="18"/>
      <c r="I50" s="18"/>
      <c r="J50" s="18"/>
    </row>
  </sheetData>
  <sheetProtection sheet="1"/>
  <mergeCells count="14">
    <mergeCell ref="A49:H49"/>
    <mergeCell ref="D47:E47"/>
    <mergeCell ref="G10:H10"/>
    <mergeCell ref="G23:I23"/>
    <mergeCell ref="A24:J24"/>
    <mergeCell ref="A15:J15"/>
    <mergeCell ref="A11:J11"/>
    <mergeCell ref="C10:D10"/>
    <mergeCell ref="C9:F9"/>
    <mergeCell ref="A9:B10"/>
    <mergeCell ref="I9:J9"/>
    <mergeCell ref="I6:J6"/>
    <mergeCell ref="A36:J36"/>
    <mergeCell ref="K8:N8"/>
  </mergeCells>
  <printOptions/>
  <pageMargins left="0.5511811023622047" right="0.3937007874015748" top="0.3937007874015748" bottom="0.1968503937007874" header="0.3937007874015748" footer="0.1968503937007874"/>
  <pageSetup blackAndWhite="1" horizontalDpi="600" verticalDpi="600" orientation="portrait" paperSize="9" r:id="rId3"/>
  <headerFooter alignWithMargins="0">
    <oddFooter>&amp;C&amp;8(C) Lerch Treuhand AG, Itingen</oddFooter>
  </headerFooter>
  <drawing r:id="rId2"/>
  <legacyDrawing r:id="rId1"/>
</worksheet>
</file>

<file path=xl/worksheets/sheet21.xml><?xml version="1.0" encoding="utf-8"?>
<worksheet xmlns="http://schemas.openxmlformats.org/spreadsheetml/2006/main" xmlns:r="http://schemas.openxmlformats.org/officeDocument/2006/relationships">
  <sheetPr codeName="Tabelle2">
    <tabColor indexed="10"/>
    <pageSetUpPr fitToPage="1"/>
  </sheetPr>
  <dimension ref="A1:Y55"/>
  <sheetViews>
    <sheetView showGridLines="0" showZeros="0" zoomScale="90" zoomScaleNormal="90" zoomScalePageLayoutView="0" workbookViewId="0" topLeftCell="A1">
      <selection activeCell="S16" sqref="S16"/>
    </sheetView>
  </sheetViews>
  <sheetFormatPr defaultColWidth="11.421875" defaultRowHeight="12.75"/>
  <cols>
    <col min="1" max="1" width="4.421875" style="16" customWidth="1"/>
    <col min="2" max="2" width="13.7109375" style="0" customWidth="1"/>
    <col min="3" max="3" width="10.57421875" style="0" customWidth="1"/>
    <col min="4" max="4" width="6.8515625" style="0" customWidth="1"/>
    <col min="5" max="5" width="2.57421875" style="0" customWidth="1"/>
    <col min="6" max="6" width="5.140625" style="16" bestFit="1" customWidth="1"/>
    <col min="7" max="7" width="2.140625" style="16" customWidth="1"/>
    <col min="8" max="8" width="6.8515625" style="0" customWidth="1"/>
    <col min="9" max="9" width="15.28125" style="0" customWidth="1"/>
    <col min="10" max="10" width="2.28125" style="0" customWidth="1"/>
    <col min="11" max="11" width="1.7109375" style="0" customWidth="1"/>
    <col min="12" max="12" width="15.28125" style="0" customWidth="1"/>
    <col min="13" max="13" width="2.421875" style="0" customWidth="1"/>
    <col min="14" max="14" width="7.7109375" style="0" customWidth="1"/>
    <col min="15" max="15" width="3.8515625" style="0" customWidth="1"/>
    <col min="16" max="16" width="1.57421875" style="0" customWidth="1"/>
    <col min="17" max="17" width="10.8515625" style="0" customWidth="1"/>
    <col min="18" max="18" width="8.140625" style="0" customWidth="1"/>
    <col min="19" max="19" width="4.8515625" style="0" customWidth="1"/>
    <col min="20" max="20" width="9.28125" style="0" customWidth="1"/>
    <col min="21" max="21" width="3.00390625" style="0" customWidth="1"/>
    <col min="22" max="22" width="24.8515625" style="0" customWidth="1"/>
    <col min="23" max="23" width="2.00390625" style="0" customWidth="1"/>
    <col min="24" max="24" width="8.421875" style="0" customWidth="1"/>
    <col min="25" max="25" width="2.8515625" style="0" customWidth="1"/>
  </cols>
  <sheetData>
    <row r="1" ht="23.25">
      <c r="A1" s="790">
        <f>DECKBLATT!B14</f>
        <v>0</v>
      </c>
    </row>
    <row r="2" spans="3:7" ht="4.5" customHeight="1">
      <c r="C2" s="3"/>
      <c r="D2" s="3"/>
      <c r="E2" s="3"/>
      <c r="F2" s="20"/>
      <c r="G2" s="20"/>
    </row>
    <row r="3" spans="1:14" ht="21.75" customHeight="1">
      <c r="A3" s="557" t="s">
        <v>541</v>
      </c>
      <c r="B3" s="88"/>
      <c r="C3" s="88"/>
      <c r="I3" s="824">
        <f>DECKBLATT!B11</f>
        <v>43830</v>
      </c>
      <c r="N3" s="15"/>
    </row>
    <row r="4" spans="1:14" ht="6" customHeight="1">
      <c r="A4" s="557"/>
      <c r="B4" s="88"/>
      <c r="C4" s="88"/>
      <c r="I4" s="475"/>
      <c r="N4" s="15"/>
    </row>
    <row r="5" spans="3:8" ht="18.75" customHeight="1">
      <c r="C5" s="825"/>
      <c r="H5" s="780" t="s">
        <v>411</v>
      </c>
    </row>
    <row r="6" ht="6" customHeight="1" thickBot="1">
      <c r="A6" s="47"/>
    </row>
    <row r="7" spans="1:14" ht="20.25" customHeight="1" thickBot="1">
      <c r="A7" s="494" t="s">
        <v>187</v>
      </c>
      <c r="B7" s="1229" t="s">
        <v>188</v>
      </c>
      <c r="C7" s="1230"/>
      <c r="D7" s="1230"/>
      <c r="E7" s="1230"/>
      <c r="F7" s="1230"/>
      <c r="G7" s="496"/>
      <c r="H7" s="122" t="s">
        <v>189</v>
      </c>
      <c r="I7" s="1220" t="s">
        <v>190</v>
      </c>
      <c r="J7" s="1221"/>
      <c r="K7" s="1221"/>
      <c r="L7" s="1221"/>
      <c r="M7" s="1221"/>
      <c r="N7" s="1222"/>
    </row>
    <row r="8" spans="1:22" ht="15" customHeight="1">
      <c r="A8" s="176">
        <v>513</v>
      </c>
      <c r="B8" s="1231" t="s">
        <v>174</v>
      </c>
      <c r="C8" s="1232"/>
      <c r="D8" s="1232"/>
      <c r="E8" s="1232"/>
      <c r="F8" s="495">
        <v>4000</v>
      </c>
      <c r="G8" s="497" t="s">
        <v>416</v>
      </c>
      <c r="H8" s="479"/>
      <c r="I8" s="1197"/>
      <c r="J8" s="1198"/>
      <c r="K8" s="1198"/>
      <c r="L8" s="1198"/>
      <c r="M8" s="1198"/>
      <c r="N8" s="1199"/>
      <c r="Q8" s="1203"/>
      <c r="R8" s="1203"/>
      <c r="S8" s="1203"/>
      <c r="T8" s="1203"/>
      <c r="U8" s="1203"/>
      <c r="V8" s="1203"/>
    </row>
    <row r="9" spans="1:22" ht="15" customHeight="1">
      <c r="A9" s="176">
        <v>512</v>
      </c>
      <c r="B9" s="1223" t="s">
        <v>204</v>
      </c>
      <c r="C9" s="998"/>
      <c r="D9" s="998"/>
      <c r="E9" s="998"/>
      <c r="F9" s="401">
        <v>4000</v>
      </c>
      <c r="G9" s="497" t="s">
        <v>416</v>
      </c>
      <c r="H9" s="480"/>
      <c r="I9" s="1194"/>
      <c r="J9" s="1195"/>
      <c r="K9" s="1195"/>
      <c r="L9" s="1195"/>
      <c r="M9" s="1195"/>
      <c r="N9" s="1196"/>
      <c r="Q9" s="1203"/>
      <c r="R9" s="1203"/>
      <c r="S9" s="1203"/>
      <c r="T9" s="1203"/>
      <c r="U9" s="1203"/>
      <c r="V9" s="1203"/>
    </row>
    <row r="10" spans="1:24" ht="15" customHeight="1">
      <c r="A10" s="176">
        <v>512</v>
      </c>
      <c r="B10" s="1223" t="s">
        <v>205</v>
      </c>
      <c r="C10" s="998"/>
      <c r="D10" s="998"/>
      <c r="E10" s="998"/>
      <c r="F10" s="401">
        <v>4000</v>
      </c>
      <c r="G10" s="497" t="s">
        <v>416</v>
      </c>
      <c r="H10" s="480"/>
      <c r="I10" s="1194"/>
      <c r="J10" s="1195"/>
      <c r="K10" s="1195"/>
      <c r="L10" s="1195"/>
      <c r="M10" s="1195"/>
      <c r="N10" s="1196"/>
      <c r="Q10" s="1204"/>
      <c r="R10" s="1204"/>
      <c r="S10" s="1204"/>
      <c r="T10" s="1204"/>
      <c r="U10" s="1204"/>
      <c r="V10" s="1204"/>
      <c r="W10" s="1204"/>
      <c r="X10" s="1204"/>
    </row>
    <row r="11" spans="1:24" ht="15" customHeight="1">
      <c r="A11" s="182"/>
      <c r="B11" s="247" t="s">
        <v>196</v>
      </c>
      <c r="C11" s="251" t="s">
        <v>197</v>
      </c>
      <c r="D11" s="536"/>
      <c r="E11" s="251" t="s">
        <v>24</v>
      </c>
      <c r="F11" s="401">
        <v>4010</v>
      </c>
      <c r="G11" s="497" t="s">
        <v>416</v>
      </c>
      <c r="H11" s="480"/>
      <c r="I11" s="501" t="s">
        <v>230</v>
      </c>
      <c r="J11" s="314"/>
      <c r="K11" s="251" t="s">
        <v>231</v>
      </c>
      <c r="L11" s="407" t="s">
        <v>232</v>
      </c>
      <c r="M11" s="314"/>
      <c r="N11" s="408" t="s">
        <v>231</v>
      </c>
      <c r="Q11" s="1204"/>
      <c r="R11" s="1204"/>
      <c r="S11" s="1204"/>
      <c r="T11" s="1204"/>
      <c r="U11" s="1204"/>
      <c r="V11" s="1204"/>
      <c r="W11" s="1204"/>
      <c r="X11" s="1204"/>
    </row>
    <row r="12" spans="1:24" ht="15" customHeight="1" thickBot="1">
      <c r="A12" s="182"/>
      <c r="B12" s="478"/>
      <c r="C12" s="251" t="s">
        <v>197</v>
      </c>
      <c r="D12" s="537"/>
      <c r="E12" s="251" t="s">
        <v>24</v>
      </c>
      <c r="F12" s="402"/>
      <c r="G12" s="497" t="s">
        <v>416</v>
      </c>
      <c r="H12" s="480"/>
      <c r="I12" s="1194"/>
      <c r="J12" s="1195"/>
      <c r="K12" s="1195"/>
      <c r="L12" s="1195"/>
      <c r="M12" s="1195"/>
      <c r="N12" s="1196"/>
      <c r="Q12" s="1204"/>
      <c r="R12" s="1204"/>
      <c r="S12" s="1204"/>
      <c r="T12" s="1204"/>
      <c r="U12" s="1204"/>
      <c r="V12" s="1204"/>
      <c r="W12" s="1204"/>
      <c r="X12" s="1204"/>
    </row>
    <row r="13" spans="1:24" ht="15" customHeight="1">
      <c r="A13" s="182">
        <v>502</v>
      </c>
      <c r="B13" s="247" t="s">
        <v>198</v>
      </c>
      <c r="C13" s="251" t="s">
        <v>197</v>
      </c>
      <c r="D13" s="536"/>
      <c r="E13" s="251" t="s">
        <v>24</v>
      </c>
      <c r="F13" s="401">
        <v>4010</v>
      </c>
      <c r="G13" s="497" t="s">
        <v>416</v>
      </c>
      <c r="H13" s="480"/>
      <c r="I13" s="501" t="s">
        <v>230</v>
      </c>
      <c r="J13" s="538"/>
      <c r="K13" s="502" t="s">
        <v>231</v>
      </c>
      <c r="L13" s="503" t="s">
        <v>232</v>
      </c>
      <c r="M13" s="538"/>
      <c r="N13" s="504" t="s">
        <v>231</v>
      </c>
      <c r="Q13" s="1205" t="s">
        <v>414</v>
      </c>
      <c r="R13" s="1206"/>
      <c r="S13" s="1206"/>
      <c r="T13" s="1206"/>
      <c r="U13" s="1206"/>
      <c r="V13" s="1206"/>
      <c r="W13" s="1206"/>
      <c r="X13" s="1207"/>
    </row>
    <row r="14" spans="1:24" ht="15" customHeight="1">
      <c r="A14" s="182">
        <v>504</v>
      </c>
      <c r="B14" s="247" t="s">
        <v>199</v>
      </c>
      <c r="C14" s="251" t="s">
        <v>197</v>
      </c>
      <c r="D14" s="536"/>
      <c r="E14" s="251" t="s">
        <v>24</v>
      </c>
      <c r="F14" s="401">
        <v>4010</v>
      </c>
      <c r="G14" s="497" t="s">
        <v>416</v>
      </c>
      <c r="H14" s="480"/>
      <c r="I14" s="501" t="s">
        <v>230</v>
      </c>
      <c r="J14" s="538"/>
      <c r="K14" s="502" t="s">
        <v>231</v>
      </c>
      <c r="L14" s="503" t="s">
        <v>232</v>
      </c>
      <c r="M14" s="538"/>
      <c r="N14" s="504" t="s">
        <v>231</v>
      </c>
      <c r="Q14" s="1208"/>
      <c r="R14" s="1209"/>
      <c r="S14" s="1209"/>
      <c r="T14" s="1209"/>
      <c r="U14" s="1209"/>
      <c r="V14" s="1209"/>
      <c r="W14" s="1209"/>
      <c r="X14" s="1210"/>
    </row>
    <row r="15" spans="1:24" ht="15" customHeight="1" thickBot="1">
      <c r="A15" s="182">
        <v>505</v>
      </c>
      <c r="B15" s="247" t="s">
        <v>200</v>
      </c>
      <c r="C15" s="251" t="s">
        <v>197</v>
      </c>
      <c r="D15" s="536"/>
      <c r="E15" s="251" t="s">
        <v>24</v>
      </c>
      <c r="F15" s="401">
        <v>4010</v>
      </c>
      <c r="G15" s="497" t="s">
        <v>416</v>
      </c>
      <c r="H15" s="480"/>
      <c r="I15" s="501" t="s">
        <v>230</v>
      </c>
      <c r="J15" s="538"/>
      <c r="K15" s="502" t="s">
        <v>231</v>
      </c>
      <c r="L15" s="503" t="s">
        <v>232</v>
      </c>
      <c r="M15" s="538"/>
      <c r="N15" s="504" t="s">
        <v>231</v>
      </c>
      <c r="Q15" s="1211"/>
      <c r="R15" s="1212"/>
      <c r="S15" s="1212"/>
      <c r="T15" s="1212"/>
      <c r="U15" s="1212"/>
      <c r="V15" s="1212"/>
      <c r="W15" s="1212"/>
      <c r="X15" s="1213"/>
    </row>
    <row r="16" spans="1:14" ht="15" customHeight="1">
      <c r="A16" s="182"/>
      <c r="B16" s="478"/>
      <c r="C16" s="251" t="s">
        <v>197</v>
      </c>
      <c r="D16" s="537"/>
      <c r="E16" s="251" t="s">
        <v>24</v>
      </c>
      <c r="F16" s="401"/>
      <c r="G16" s="497" t="s">
        <v>416</v>
      </c>
      <c r="H16" s="480"/>
      <c r="I16" s="1214"/>
      <c r="J16" s="1215"/>
      <c r="K16" s="1215"/>
      <c r="L16" s="1215"/>
      <c r="M16" s="1215"/>
      <c r="N16" s="1216"/>
    </row>
    <row r="17" spans="1:14" ht="15" customHeight="1">
      <c r="A17" s="182">
        <v>508</v>
      </c>
      <c r="B17" s="247" t="s">
        <v>201</v>
      </c>
      <c r="C17" s="251" t="s">
        <v>197</v>
      </c>
      <c r="D17" s="536"/>
      <c r="E17" s="251" t="s">
        <v>24</v>
      </c>
      <c r="F17" s="401">
        <v>4020</v>
      </c>
      <c r="G17" s="497" t="s">
        <v>416</v>
      </c>
      <c r="H17" s="480"/>
      <c r="I17" s="501" t="s">
        <v>230</v>
      </c>
      <c r="J17" s="538"/>
      <c r="K17" s="502" t="s">
        <v>231</v>
      </c>
      <c r="L17" s="503" t="s">
        <v>232</v>
      </c>
      <c r="M17" s="538"/>
      <c r="N17" s="504" t="s">
        <v>231</v>
      </c>
    </row>
    <row r="18" spans="1:14" ht="15" customHeight="1">
      <c r="A18" s="182"/>
      <c r="B18" s="478"/>
      <c r="C18" s="251" t="s">
        <v>197</v>
      </c>
      <c r="D18" s="537"/>
      <c r="E18" s="251" t="s">
        <v>24</v>
      </c>
      <c r="F18" s="401"/>
      <c r="G18" s="497" t="s">
        <v>416</v>
      </c>
      <c r="H18" s="480"/>
      <c r="I18" s="1214"/>
      <c r="J18" s="1215"/>
      <c r="K18" s="1215"/>
      <c r="L18" s="1215"/>
      <c r="M18" s="1215"/>
      <c r="N18" s="1216"/>
    </row>
    <row r="19" spans="1:14" ht="15" customHeight="1">
      <c r="A19" s="182">
        <v>524</v>
      </c>
      <c r="B19" s="247" t="s">
        <v>175</v>
      </c>
      <c r="C19" s="251"/>
      <c r="D19" s="251"/>
      <c r="E19" s="251"/>
      <c r="F19" s="401">
        <v>4100</v>
      </c>
      <c r="G19" s="497" t="s">
        <v>416</v>
      </c>
      <c r="H19" s="480"/>
      <c r="I19" s="1214"/>
      <c r="J19" s="1215"/>
      <c r="K19" s="1215"/>
      <c r="L19" s="1215"/>
      <c r="M19" s="1215"/>
      <c r="N19" s="1216"/>
    </row>
    <row r="20" spans="1:14" ht="15" customHeight="1">
      <c r="A20" s="182">
        <v>522</v>
      </c>
      <c r="B20" s="247" t="s">
        <v>206</v>
      </c>
      <c r="C20" s="251"/>
      <c r="D20" s="251"/>
      <c r="E20" s="251"/>
      <c r="F20" s="401">
        <v>4110</v>
      </c>
      <c r="G20" s="497" t="s">
        <v>416</v>
      </c>
      <c r="H20" s="480"/>
      <c r="I20" s="1214"/>
      <c r="J20" s="1215"/>
      <c r="K20" s="1215"/>
      <c r="L20" s="1215"/>
      <c r="M20" s="1215"/>
      <c r="N20" s="1216"/>
    </row>
    <row r="21" spans="1:14" ht="15" customHeight="1">
      <c r="A21" s="182">
        <v>527</v>
      </c>
      <c r="B21" s="247" t="s">
        <v>207</v>
      </c>
      <c r="C21" s="251"/>
      <c r="D21" s="251"/>
      <c r="E21" s="251"/>
      <c r="F21" s="401">
        <v>4120</v>
      </c>
      <c r="G21" s="497" t="s">
        <v>416</v>
      </c>
      <c r="H21" s="480"/>
      <c r="I21" s="1214"/>
      <c r="J21" s="1215"/>
      <c r="K21" s="1215"/>
      <c r="L21" s="1215"/>
      <c r="M21" s="1215"/>
      <c r="N21" s="1216"/>
    </row>
    <row r="22" spans="1:14" ht="15" customHeight="1">
      <c r="A22" s="182">
        <v>537</v>
      </c>
      <c r="B22" s="247" t="s">
        <v>202</v>
      </c>
      <c r="C22" s="251" t="s">
        <v>197</v>
      </c>
      <c r="D22" s="536"/>
      <c r="E22" s="251" t="s">
        <v>24</v>
      </c>
      <c r="F22" s="401">
        <v>4130</v>
      </c>
      <c r="G22" s="497" t="s">
        <v>416</v>
      </c>
      <c r="H22" s="480"/>
      <c r="I22" s="501" t="s">
        <v>230</v>
      </c>
      <c r="J22" s="539"/>
      <c r="K22" s="502" t="s">
        <v>231</v>
      </c>
      <c r="L22" s="503" t="s">
        <v>232</v>
      </c>
      <c r="M22" s="538"/>
      <c r="N22" s="504" t="s">
        <v>231</v>
      </c>
    </row>
    <row r="23" spans="1:14" ht="15" customHeight="1">
      <c r="A23" s="176"/>
      <c r="B23" s="1223" t="s">
        <v>203</v>
      </c>
      <c r="C23" s="998"/>
      <c r="D23" s="998"/>
      <c r="E23" s="998"/>
      <c r="F23" s="401"/>
      <c r="G23" s="497" t="s">
        <v>416</v>
      </c>
      <c r="H23" s="480"/>
      <c r="I23" s="1194"/>
      <c r="J23" s="1195"/>
      <c r="K23" s="1195"/>
      <c r="L23" s="1195"/>
      <c r="M23" s="1195"/>
      <c r="N23" s="1196"/>
    </row>
    <row r="24" spans="1:14" ht="15" customHeight="1">
      <c r="A24" s="176">
        <v>528</v>
      </c>
      <c r="B24" s="1223" t="s">
        <v>208</v>
      </c>
      <c r="C24" s="998"/>
      <c r="D24" s="998"/>
      <c r="E24" s="998"/>
      <c r="F24" s="401">
        <v>4170</v>
      </c>
      <c r="G24" s="497" t="s">
        <v>416</v>
      </c>
      <c r="H24" s="480"/>
      <c r="I24" s="1194"/>
      <c r="J24" s="1195"/>
      <c r="K24" s="1195"/>
      <c r="L24" s="1195"/>
      <c r="M24" s="1195"/>
      <c r="N24" s="1196"/>
    </row>
    <row r="25" spans="1:14" ht="15" customHeight="1">
      <c r="A25" s="176">
        <v>531</v>
      </c>
      <c r="B25" s="1223" t="s">
        <v>215</v>
      </c>
      <c r="C25" s="998"/>
      <c r="D25" s="998"/>
      <c r="E25" s="998"/>
      <c r="F25" s="401"/>
      <c r="G25" s="497" t="s">
        <v>416</v>
      </c>
      <c r="H25" s="480"/>
      <c r="I25" s="1194"/>
      <c r="J25" s="1195"/>
      <c r="K25" s="1195"/>
      <c r="L25" s="1195"/>
      <c r="M25" s="1195"/>
      <c r="N25" s="1196"/>
    </row>
    <row r="26" spans="1:14" ht="15" customHeight="1">
      <c r="A26" s="176">
        <v>536</v>
      </c>
      <c r="B26" s="1223" t="s">
        <v>209</v>
      </c>
      <c r="C26" s="998"/>
      <c r="D26" s="998"/>
      <c r="E26" s="998"/>
      <c r="F26" s="401">
        <v>4140</v>
      </c>
      <c r="G26" s="497" t="s">
        <v>416</v>
      </c>
      <c r="H26" s="480"/>
      <c r="I26" s="1194"/>
      <c r="J26" s="1195"/>
      <c r="K26" s="1195"/>
      <c r="L26" s="1195"/>
      <c r="M26" s="1195"/>
      <c r="N26" s="1196"/>
    </row>
    <row r="27" spans="1:14" ht="15" customHeight="1">
      <c r="A27" s="176">
        <v>546</v>
      </c>
      <c r="B27" s="1223" t="s">
        <v>210</v>
      </c>
      <c r="C27" s="998"/>
      <c r="D27" s="998"/>
      <c r="E27" s="998"/>
      <c r="F27" s="401">
        <v>4140</v>
      </c>
      <c r="G27" s="497" t="s">
        <v>416</v>
      </c>
      <c r="H27" s="480"/>
      <c r="I27" s="1194"/>
      <c r="J27" s="1195"/>
      <c r="K27" s="1195"/>
      <c r="L27" s="1195"/>
      <c r="M27" s="1195"/>
      <c r="N27" s="1196"/>
    </row>
    <row r="28" spans="1:14" ht="15" customHeight="1">
      <c r="A28" s="176">
        <v>546</v>
      </c>
      <c r="B28" s="1223" t="s">
        <v>211</v>
      </c>
      <c r="C28" s="998"/>
      <c r="D28" s="998"/>
      <c r="E28" s="998"/>
      <c r="F28" s="401">
        <v>4170</v>
      </c>
      <c r="G28" s="497" t="s">
        <v>416</v>
      </c>
      <c r="H28" s="480"/>
      <c r="I28" s="1194"/>
      <c r="J28" s="1195"/>
      <c r="K28" s="1195"/>
      <c r="L28" s="1195"/>
      <c r="M28" s="1195"/>
      <c r="N28" s="1196"/>
    </row>
    <row r="29" spans="1:14" ht="15" customHeight="1">
      <c r="A29" s="176"/>
      <c r="B29" s="1224"/>
      <c r="C29" s="1225"/>
      <c r="D29" s="1225"/>
      <c r="E29" s="1225"/>
      <c r="F29" s="401"/>
      <c r="G29" s="497" t="s">
        <v>416</v>
      </c>
      <c r="H29" s="480"/>
      <c r="I29" s="1194"/>
      <c r="J29" s="1195"/>
      <c r="K29" s="1195"/>
      <c r="L29" s="1195"/>
      <c r="M29" s="1195"/>
      <c r="N29" s="1196"/>
    </row>
    <row r="30" spans="1:14" ht="15" customHeight="1">
      <c r="A30" s="176">
        <v>554</v>
      </c>
      <c r="B30" s="1223" t="s">
        <v>212</v>
      </c>
      <c r="C30" s="998"/>
      <c r="D30" s="998"/>
      <c r="E30" s="998"/>
      <c r="F30" s="401"/>
      <c r="G30" s="497" t="s">
        <v>416</v>
      </c>
      <c r="H30" s="480"/>
      <c r="I30" s="1194"/>
      <c r="J30" s="1195"/>
      <c r="K30" s="1195"/>
      <c r="L30" s="1195"/>
      <c r="M30" s="1195"/>
      <c r="N30" s="1196"/>
    </row>
    <row r="31" spans="1:14" ht="15" customHeight="1">
      <c r="A31" s="176"/>
      <c r="B31" s="1224"/>
      <c r="C31" s="1225"/>
      <c r="D31" s="1225"/>
      <c r="E31" s="1225"/>
      <c r="F31" s="403"/>
      <c r="G31" s="498" t="s">
        <v>416</v>
      </c>
      <c r="H31" s="480"/>
      <c r="I31" s="1194"/>
      <c r="J31" s="1195"/>
      <c r="K31" s="1195"/>
      <c r="L31" s="1195"/>
      <c r="M31" s="1195"/>
      <c r="N31" s="1196"/>
    </row>
    <row r="32" spans="1:14" ht="15" customHeight="1">
      <c r="A32" s="176">
        <v>521</v>
      </c>
      <c r="B32" s="1223" t="s">
        <v>213</v>
      </c>
      <c r="C32" s="998"/>
      <c r="D32" s="998"/>
      <c r="E32" s="998"/>
      <c r="F32" s="401">
        <v>9500</v>
      </c>
      <c r="G32" s="497" t="s">
        <v>416</v>
      </c>
      <c r="H32" s="480"/>
      <c r="I32" s="1194"/>
      <c r="J32" s="1195"/>
      <c r="K32" s="1195"/>
      <c r="L32" s="1195"/>
      <c r="M32" s="1195"/>
      <c r="N32" s="1196"/>
    </row>
    <row r="33" spans="1:14" ht="15" customHeight="1" thickBot="1">
      <c r="A33" s="176">
        <v>523</v>
      </c>
      <c r="B33" s="1233" t="s">
        <v>214</v>
      </c>
      <c r="C33" s="1015"/>
      <c r="D33" s="1015"/>
      <c r="E33" s="1015"/>
      <c r="F33" s="404">
        <v>9500</v>
      </c>
      <c r="G33" s="497" t="s">
        <v>416</v>
      </c>
      <c r="H33" s="481"/>
      <c r="I33" s="1217"/>
      <c r="J33" s="1218"/>
      <c r="K33" s="1218"/>
      <c r="L33" s="1218"/>
      <c r="M33" s="1218"/>
      <c r="N33" s="1219"/>
    </row>
    <row r="34" spans="1:14" ht="15.75" customHeight="1" thickBot="1">
      <c r="A34" s="199"/>
      <c r="B34" s="1235" t="s">
        <v>191</v>
      </c>
      <c r="C34" s="1236"/>
      <c r="D34" s="1236"/>
      <c r="E34" s="1236"/>
      <c r="F34" s="1236"/>
      <c r="G34" s="499" t="s">
        <v>415</v>
      </c>
      <c r="H34" s="441">
        <f>SUM(H8:H33)</f>
        <v>0</v>
      </c>
      <c r="I34" s="1226"/>
      <c r="J34" s="1227"/>
      <c r="K34" s="1227"/>
      <c r="L34" s="1227"/>
      <c r="M34" s="1227"/>
      <c r="N34" s="1228"/>
    </row>
    <row r="35" spans="1:22" ht="15" customHeight="1">
      <c r="A35" s="176">
        <v>556</v>
      </c>
      <c r="B35" s="1234" t="s">
        <v>216</v>
      </c>
      <c r="C35" s="1011"/>
      <c r="D35" s="1011"/>
      <c r="E35" s="1011"/>
      <c r="F35" s="400">
        <v>9500</v>
      </c>
      <c r="G35" s="497" t="s">
        <v>416</v>
      </c>
      <c r="H35" s="479"/>
      <c r="I35" s="1197"/>
      <c r="J35" s="1198"/>
      <c r="K35" s="1198"/>
      <c r="L35" s="1198"/>
      <c r="M35" s="1198"/>
      <c r="N35" s="1199"/>
      <c r="V35" s="242"/>
    </row>
    <row r="36" spans="1:14" ht="15" customHeight="1">
      <c r="A36" s="176">
        <v>557</v>
      </c>
      <c r="B36" s="1223" t="s">
        <v>217</v>
      </c>
      <c r="C36" s="998"/>
      <c r="D36" s="998"/>
      <c r="E36" s="998"/>
      <c r="F36" s="401">
        <v>9500</v>
      </c>
      <c r="G36" s="497" t="s">
        <v>416</v>
      </c>
      <c r="H36" s="480"/>
      <c r="I36" s="1194"/>
      <c r="J36" s="1195"/>
      <c r="K36" s="1195"/>
      <c r="L36" s="1195"/>
      <c r="M36" s="1195"/>
      <c r="N36" s="1196"/>
    </row>
    <row r="37" spans="1:14" ht="15" customHeight="1" thickBot="1">
      <c r="A37" s="176">
        <v>601</v>
      </c>
      <c r="B37" s="1233" t="s">
        <v>218</v>
      </c>
      <c r="C37" s="1015"/>
      <c r="D37" s="1015"/>
      <c r="E37" s="1015"/>
      <c r="F37" s="404">
        <v>9500</v>
      </c>
      <c r="G37" s="497" t="s">
        <v>416</v>
      </c>
      <c r="H37" s="481"/>
      <c r="I37" s="1194"/>
      <c r="J37" s="1195"/>
      <c r="K37" s="1195"/>
      <c r="L37" s="1195"/>
      <c r="M37" s="1195"/>
      <c r="N37" s="1196"/>
    </row>
    <row r="38" spans="1:14" ht="15" customHeight="1" thickBot="1">
      <c r="A38" s="205"/>
      <c r="B38" s="205" t="s">
        <v>192</v>
      </c>
      <c r="C38" s="201"/>
      <c r="D38" s="201"/>
      <c r="E38" s="201"/>
      <c r="F38" s="201"/>
      <c r="G38" s="499" t="s">
        <v>415</v>
      </c>
      <c r="H38" s="441">
        <f>H34+H35+H36+H37</f>
        <v>0</v>
      </c>
      <c r="I38" s="1194"/>
      <c r="J38" s="1195"/>
      <c r="K38" s="1195"/>
      <c r="L38" s="1195"/>
      <c r="M38" s="1195"/>
      <c r="N38" s="1196"/>
    </row>
    <row r="39" spans="1:14" ht="15" customHeight="1">
      <c r="A39" s="176">
        <v>611</v>
      </c>
      <c r="B39" s="1234" t="s">
        <v>219</v>
      </c>
      <c r="C39" s="1011"/>
      <c r="D39" s="1011"/>
      <c r="E39" s="1011"/>
      <c r="F39" s="400">
        <v>9500</v>
      </c>
      <c r="G39" s="497" t="s">
        <v>416</v>
      </c>
      <c r="H39" s="479"/>
      <c r="I39" s="1194"/>
      <c r="J39" s="1195"/>
      <c r="K39" s="1195"/>
      <c r="L39" s="1195"/>
      <c r="M39" s="1195"/>
      <c r="N39" s="1196"/>
    </row>
    <row r="40" spans="1:14" ht="15" customHeight="1">
      <c r="A40" s="176">
        <v>612</v>
      </c>
      <c r="B40" s="1223" t="s">
        <v>220</v>
      </c>
      <c r="C40" s="998"/>
      <c r="D40" s="998"/>
      <c r="E40" s="998"/>
      <c r="F40" s="401">
        <v>9500</v>
      </c>
      <c r="G40" s="497" t="s">
        <v>416</v>
      </c>
      <c r="H40" s="480"/>
      <c r="I40" s="1194"/>
      <c r="J40" s="1195"/>
      <c r="K40" s="1195"/>
      <c r="L40" s="1195"/>
      <c r="M40" s="1195"/>
      <c r="N40" s="1196"/>
    </row>
    <row r="41" spans="1:14" ht="15" customHeight="1">
      <c r="A41" s="176">
        <v>617</v>
      </c>
      <c r="B41" s="1223" t="s">
        <v>221</v>
      </c>
      <c r="C41" s="998"/>
      <c r="D41" s="998"/>
      <c r="E41" s="998"/>
      <c r="F41" s="401">
        <v>9500</v>
      </c>
      <c r="G41" s="497" t="s">
        <v>416</v>
      </c>
      <c r="H41" s="480"/>
      <c r="I41" s="1194"/>
      <c r="J41" s="1195"/>
      <c r="K41" s="1195"/>
      <c r="L41" s="1195"/>
      <c r="M41" s="1195"/>
      <c r="N41" s="1196"/>
    </row>
    <row r="42" spans="1:24" ht="15" customHeight="1">
      <c r="A42" s="176">
        <v>701</v>
      </c>
      <c r="B42" s="1223" t="s">
        <v>222</v>
      </c>
      <c r="C42" s="998"/>
      <c r="D42" s="998"/>
      <c r="E42" s="998"/>
      <c r="F42" s="401">
        <v>9500</v>
      </c>
      <c r="G42" s="497" t="s">
        <v>416</v>
      </c>
      <c r="H42" s="480"/>
      <c r="I42" s="1194"/>
      <c r="J42" s="1195"/>
      <c r="K42" s="1195"/>
      <c r="L42" s="1195"/>
      <c r="M42" s="1195"/>
      <c r="N42" s="1196"/>
      <c r="Q42" s="8" t="s">
        <v>413</v>
      </c>
      <c r="S42" s="1185"/>
      <c r="T42" s="1186"/>
      <c r="U42" s="1186"/>
      <c r="V42" s="1186"/>
      <c r="W42" s="1186"/>
      <c r="X42" s="1187"/>
    </row>
    <row r="43" spans="1:24" ht="15" customHeight="1">
      <c r="A43" s="176">
        <v>702</v>
      </c>
      <c r="B43" s="1223" t="s">
        <v>223</v>
      </c>
      <c r="C43" s="998"/>
      <c r="D43" s="998"/>
      <c r="E43" s="998"/>
      <c r="F43" s="401">
        <v>9500</v>
      </c>
      <c r="G43" s="497" t="s">
        <v>416</v>
      </c>
      <c r="H43" s="480"/>
      <c r="I43" s="1200"/>
      <c r="J43" s="1201"/>
      <c r="K43" s="1201"/>
      <c r="L43" s="1201"/>
      <c r="M43" s="1201"/>
      <c r="N43" s="1202"/>
      <c r="S43" s="1188"/>
      <c r="T43" s="1189"/>
      <c r="U43" s="1189"/>
      <c r="V43" s="1189"/>
      <c r="W43" s="1189"/>
      <c r="X43" s="1190"/>
    </row>
    <row r="44" spans="1:24" ht="15" customHeight="1">
      <c r="A44" s="176">
        <v>713</v>
      </c>
      <c r="B44" s="1223" t="s">
        <v>224</v>
      </c>
      <c r="C44" s="998"/>
      <c r="D44" s="998"/>
      <c r="E44" s="998"/>
      <c r="F44" s="401">
        <v>9500</v>
      </c>
      <c r="G44" s="497" t="s">
        <v>416</v>
      </c>
      <c r="H44" s="480"/>
      <c r="I44" s="1194"/>
      <c r="J44" s="1195"/>
      <c r="K44" s="1195"/>
      <c r="L44" s="1195"/>
      <c r="M44" s="1195"/>
      <c r="N44" s="1196"/>
      <c r="S44" s="1191"/>
      <c r="T44" s="1192"/>
      <c r="U44" s="1192"/>
      <c r="V44" s="1192"/>
      <c r="W44" s="1192"/>
      <c r="X44" s="1193"/>
    </row>
    <row r="45" spans="1:14" ht="15" customHeight="1" thickBot="1">
      <c r="A45" s="176"/>
      <c r="B45" s="1224"/>
      <c r="C45" s="1225"/>
      <c r="D45" s="1225"/>
      <c r="E45" s="1225"/>
      <c r="F45" s="401"/>
      <c r="G45" s="497" t="s">
        <v>416</v>
      </c>
      <c r="H45" s="480"/>
      <c r="I45" s="1194"/>
      <c r="J45" s="1195"/>
      <c r="K45" s="1195"/>
      <c r="L45" s="1195"/>
      <c r="M45" s="1195"/>
      <c r="N45" s="1196"/>
    </row>
    <row r="46" spans="1:25" ht="15" customHeight="1" thickBot="1">
      <c r="A46" s="176">
        <v>851</v>
      </c>
      <c r="B46" s="1233" t="s">
        <v>225</v>
      </c>
      <c r="C46" s="1015"/>
      <c r="D46" s="1015"/>
      <c r="E46" s="1015"/>
      <c r="F46" s="404">
        <v>9500</v>
      </c>
      <c r="G46" s="497" t="s">
        <v>416</v>
      </c>
      <c r="H46" s="481"/>
      <c r="I46" s="1217"/>
      <c r="J46" s="1218"/>
      <c r="K46" s="1218"/>
      <c r="L46" s="1218"/>
      <c r="M46" s="1218"/>
      <c r="N46" s="1219"/>
      <c r="P46" s="230"/>
      <c r="Q46" s="231"/>
      <c r="R46" s="231"/>
      <c r="S46" s="231"/>
      <c r="T46" s="231"/>
      <c r="U46" s="231"/>
      <c r="V46" s="231"/>
      <c r="W46" s="231"/>
      <c r="X46" s="231"/>
      <c r="Y46" s="232"/>
    </row>
    <row r="47" spans="1:25" ht="20.25" customHeight="1" thickBot="1">
      <c r="A47" s="200"/>
      <c r="B47" s="1235" t="s">
        <v>418</v>
      </c>
      <c r="C47" s="1236"/>
      <c r="D47" s="1236"/>
      <c r="E47" s="201"/>
      <c r="F47" s="201"/>
      <c r="G47" s="499" t="s">
        <v>415</v>
      </c>
      <c r="H47" s="441">
        <f>H38+H39+H40+H41+H42+H43+H44+H45+H46</f>
        <v>0</v>
      </c>
      <c r="I47" s="1241" t="s">
        <v>419</v>
      </c>
      <c r="J47" s="1236"/>
      <c r="K47" s="1236"/>
      <c r="L47" s="1236"/>
      <c r="M47" s="1236"/>
      <c r="N47" s="1242"/>
      <c r="P47" s="233"/>
      <c r="Q47" s="239" t="s">
        <v>534</v>
      </c>
      <c r="R47" s="234"/>
      <c r="S47" s="234"/>
      <c r="T47" s="12"/>
      <c r="U47" s="12"/>
      <c r="V47" s="12"/>
      <c r="W47" s="12"/>
      <c r="X47" s="12"/>
      <c r="Y47" s="235"/>
    </row>
    <row r="48" spans="1:25" ht="15" customHeight="1" thickBot="1">
      <c r="A48" s="449">
        <v>901</v>
      </c>
      <c r="B48" s="1239" t="s">
        <v>226</v>
      </c>
      <c r="C48" s="1240"/>
      <c r="D48" s="1240"/>
      <c r="E48" s="1240"/>
      <c r="F48" s="405">
        <v>9500</v>
      </c>
      <c r="G48" s="497" t="s">
        <v>416</v>
      </c>
      <c r="H48" s="482"/>
      <c r="I48" s="1243"/>
      <c r="J48" s="1244"/>
      <c r="K48" s="1244"/>
      <c r="L48" s="1244"/>
      <c r="M48" s="1244"/>
      <c r="N48" s="202"/>
      <c r="P48" s="233"/>
      <c r="Q48" s="12"/>
      <c r="R48" s="12"/>
      <c r="S48" s="12"/>
      <c r="T48" s="12"/>
      <c r="U48" s="12"/>
      <c r="V48" s="12"/>
      <c r="W48" s="12"/>
      <c r="X48" s="12"/>
      <c r="Y48" s="235"/>
    </row>
    <row r="49" spans="1:25" ht="16.5" customHeight="1" thickBot="1">
      <c r="A49" s="199"/>
      <c r="B49" s="1235" t="s">
        <v>193</v>
      </c>
      <c r="C49" s="1236"/>
      <c r="D49" s="201"/>
      <c r="E49" s="201"/>
      <c r="F49" s="201"/>
      <c r="G49" s="499" t="s">
        <v>415</v>
      </c>
      <c r="H49" s="441">
        <f>SUM(H47:H48)</f>
        <v>0</v>
      </c>
      <c r="I49" s="54"/>
      <c r="J49" s="54"/>
      <c r="K49" s="54"/>
      <c r="L49" s="54"/>
      <c r="M49" s="54"/>
      <c r="N49" s="63"/>
      <c r="P49" s="233"/>
      <c r="Q49" s="12"/>
      <c r="R49" s="12"/>
      <c r="S49" s="12"/>
      <c r="T49" s="12"/>
      <c r="U49" s="12"/>
      <c r="V49" s="12"/>
      <c r="W49" s="12"/>
      <c r="X49" s="12"/>
      <c r="Y49" s="235"/>
    </row>
    <row r="50" spans="1:25" ht="15" customHeight="1" thickBot="1">
      <c r="A50" s="176">
        <v>902</v>
      </c>
      <c r="B50" s="1234" t="s">
        <v>227</v>
      </c>
      <c r="C50" s="1011"/>
      <c r="D50" s="1011"/>
      <c r="E50" s="1011"/>
      <c r="F50" s="400">
        <v>9500</v>
      </c>
      <c r="G50" s="497" t="s">
        <v>416</v>
      </c>
      <c r="H50" s="482"/>
      <c r="I50" s="49"/>
      <c r="J50" s="49"/>
      <c r="K50" s="49"/>
      <c r="L50" s="49"/>
      <c r="M50" s="49"/>
      <c r="N50" s="203"/>
      <c r="P50" s="233"/>
      <c r="Q50" s="534" t="s">
        <v>535</v>
      </c>
      <c r="R50" s="12"/>
      <c r="S50" s="12"/>
      <c r="T50" s="483"/>
      <c r="U50" s="12"/>
      <c r="V50" s="241" t="s">
        <v>510</v>
      </c>
      <c r="W50" s="12"/>
      <c r="X50" s="445">
        <f>H53-T50</f>
        <v>0</v>
      </c>
      <c r="Y50" s="235"/>
    </row>
    <row r="51" spans="1:25" ht="15" customHeight="1" thickBot="1">
      <c r="A51" s="176">
        <v>903</v>
      </c>
      <c r="B51" s="1233" t="s">
        <v>228</v>
      </c>
      <c r="C51" s="1015"/>
      <c r="D51" s="1015"/>
      <c r="E51" s="1015"/>
      <c r="F51" s="404">
        <v>9500</v>
      </c>
      <c r="G51" s="497" t="s">
        <v>416</v>
      </c>
      <c r="H51" s="482"/>
      <c r="I51" s="48"/>
      <c r="J51" s="48"/>
      <c r="K51" s="48"/>
      <c r="L51" s="48"/>
      <c r="M51" s="48"/>
      <c r="N51" s="204"/>
      <c r="P51" s="236"/>
      <c r="Q51" s="534" t="s">
        <v>536</v>
      </c>
      <c r="R51" s="12"/>
      <c r="S51" s="12"/>
      <c r="T51" s="483"/>
      <c r="U51" s="12"/>
      <c r="V51" s="241" t="s">
        <v>511</v>
      </c>
      <c r="W51" s="12"/>
      <c r="X51" s="445">
        <f>H54-T51</f>
        <v>0</v>
      </c>
      <c r="Y51" s="235"/>
    </row>
    <row r="52" spans="1:25" ht="15.75" customHeight="1" thickBot="1">
      <c r="A52" s="205"/>
      <c r="B52" s="1235" t="s">
        <v>194</v>
      </c>
      <c r="C52" s="1236"/>
      <c r="D52" s="1236"/>
      <c r="E52" s="201"/>
      <c r="F52" s="201"/>
      <c r="G52" s="499" t="s">
        <v>415</v>
      </c>
      <c r="H52" s="441">
        <f>SUM(H49:H51)</f>
        <v>0</v>
      </c>
      <c r="I52" s="54"/>
      <c r="J52" s="54"/>
      <c r="K52" s="54"/>
      <c r="L52" s="54"/>
      <c r="M52" s="54"/>
      <c r="N52" s="63"/>
      <c r="P52" s="236"/>
      <c r="Q52" s="12"/>
      <c r="R52" s="12"/>
      <c r="S52" s="12"/>
      <c r="T52" s="442"/>
      <c r="U52" s="12"/>
      <c r="V52" s="12"/>
      <c r="W52" s="12"/>
      <c r="X52" s="442"/>
      <c r="Y52" s="235"/>
    </row>
    <row r="53" spans="1:25" ht="17.25" customHeight="1" thickBot="1">
      <c r="A53" s="176">
        <v>904</v>
      </c>
      <c r="B53" s="1239" t="s">
        <v>229</v>
      </c>
      <c r="C53" s="1240"/>
      <c r="D53" s="1240"/>
      <c r="E53" s="1240"/>
      <c r="F53" s="406">
        <v>9500</v>
      </c>
      <c r="G53" s="497" t="s">
        <v>417</v>
      </c>
      <c r="H53" s="482"/>
      <c r="I53" s="447" t="s">
        <v>386</v>
      </c>
      <c r="J53" s="1237" t="str">
        <f>IF(X50&gt;=0,"+","-")</f>
        <v>+</v>
      </c>
      <c r="K53" s="1238"/>
      <c r="L53" s="446">
        <f>X50</f>
        <v>0</v>
      </c>
      <c r="M53" s="1247"/>
      <c r="N53" s="1248"/>
      <c r="P53" s="236"/>
      <c r="Q53" s="674" t="s">
        <v>537</v>
      </c>
      <c r="R53" s="12"/>
      <c r="S53" s="12"/>
      <c r="T53" s="444">
        <f>T50+T51</f>
        <v>0</v>
      </c>
      <c r="U53" s="12"/>
      <c r="V53" s="243"/>
      <c r="W53" s="12"/>
      <c r="X53" s="443">
        <f>X50+X51</f>
        <v>0</v>
      </c>
      <c r="Y53" s="235"/>
    </row>
    <row r="54" spans="1:25" ht="17.25" customHeight="1" thickBot="1">
      <c r="A54" s="172"/>
      <c r="B54" s="1172" t="s">
        <v>195</v>
      </c>
      <c r="C54" s="1173"/>
      <c r="D54" s="174"/>
      <c r="E54" s="174"/>
      <c r="F54" s="174"/>
      <c r="G54" s="500" t="s">
        <v>415</v>
      </c>
      <c r="H54" s="441">
        <f>(H52-H53)</f>
        <v>0</v>
      </c>
      <c r="I54" s="448" t="s">
        <v>386</v>
      </c>
      <c r="J54" s="1237" t="str">
        <f>IF(X51&gt;=0,"+","-")</f>
        <v>+</v>
      </c>
      <c r="K54" s="1238"/>
      <c r="L54" s="446">
        <f>X51</f>
        <v>0</v>
      </c>
      <c r="M54" s="1245"/>
      <c r="N54" s="1246"/>
      <c r="O54" s="51"/>
      <c r="P54" s="240"/>
      <c r="Q54" s="237"/>
      <c r="R54" s="237"/>
      <c r="S54" s="237"/>
      <c r="T54" s="237"/>
      <c r="U54" s="237"/>
      <c r="V54" s="237"/>
      <c r="W54" s="237"/>
      <c r="X54" s="237"/>
      <c r="Y54" s="238"/>
    </row>
    <row r="55" spans="1:15" ht="8.25" customHeight="1">
      <c r="A55" s="52"/>
      <c r="B55" s="52"/>
      <c r="C55" s="52"/>
      <c r="D55" s="52"/>
      <c r="E55" s="52"/>
      <c r="F55" s="52"/>
      <c r="G55" s="493"/>
      <c r="H55" s="53"/>
      <c r="I55" s="50"/>
      <c r="J55" s="50"/>
      <c r="K55" s="50"/>
      <c r="L55" s="50"/>
      <c r="M55" s="50"/>
      <c r="N55" s="50"/>
      <c r="O55" s="51"/>
    </row>
  </sheetData>
  <sheetProtection sheet="1"/>
  <protectedRanges>
    <protectedRange sqref="S42:X44" name="Bereich3"/>
    <protectedRange sqref="T51" name="Bereich2"/>
    <protectedRange sqref="T50" name="Bereich1"/>
  </protectedRanges>
  <mergeCells count="79">
    <mergeCell ref="I48:M48"/>
    <mergeCell ref="I46:N46"/>
    <mergeCell ref="B51:E51"/>
    <mergeCell ref="B52:D52"/>
    <mergeCell ref="M54:N54"/>
    <mergeCell ref="B54:C54"/>
    <mergeCell ref="B48:E48"/>
    <mergeCell ref="B49:C49"/>
    <mergeCell ref="J54:K54"/>
    <mergeCell ref="M53:N53"/>
    <mergeCell ref="J53:K53"/>
    <mergeCell ref="B47:D47"/>
    <mergeCell ref="B43:E43"/>
    <mergeCell ref="B44:E44"/>
    <mergeCell ref="I44:N44"/>
    <mergeCell ref="B50:E50"/>
    <mergeCell ref="B53:E53"/>
    <mergeCell ref="I45:N45"/>
    <mergeCell ref="I47:N47"/>
    <mergeCell ref="B46:E46"/>
    <mergeCell ref="B45:E45"/>
    <mergeCell ref="B30:E30"/>
    <mergeCell ref="B42:E42"/>
    <mergeCell ref="B40:E40"/>
    <mergeCell ref="B37:E37"/>
    <mergeCell ref="B39:E39"/>
    <mergeCell ref="B33:E33"/>
    <mergeCell ref="B35:E35"/>
    <mergeCell ref="B41:E41"/>
    <mergeCell ref="B34:F34"/>
    <mergeCell ref="B32:E32"/>
    <mergeCell ref="B7:F7"/>
    <mergeCell ref="B8:E8"/>
    <mergeCell ref="B9:E9"/>
    <mergeCell ref="B10:E10"/>
    <mergeCell ref="B28:E28"/>
    <mergeCell ref="B26:E26"/>
    <mergeCell ref="B23:E23"/>
    <mergeCell ref="B24:E24"/>
    <mergeCell ref="B25:E25"/>
    <mergeCell ref="B27:E27"/>
    <mergeCell ref="B31:E31"/>
    <mergeCell ref="I25:N25"/>
    <mergeCell ref="I28:N28"/>
    <mergeCell ref="I40:N40"/>
    <mergeCell ref="B29:E29"/>
    <mergeCell ref="I30:N30"/>
    <mergeCell ref="I34:N34"/>
    <mergeCell ref="I38:N38"/>
    <mergeCell ref="B36:E36"/>
    <mergeCell ref="I33:N33"/>
    <mergeCell ref="I7:N7"/>
    <mergeCell ref="I8:N8"/>
    <mergeCell ref="I9:N9"/>
    <mergeCell ref="I10:N10"/>
    <mergeCell ref="I16:N16"/>
    <mergeCell ref="I32:N32"/>
    <mergeCell ref="I29:N29"/>
    <mergeCell ref="I20:N20"/>
    <mergeCell ref="Q8:V9"/>
    <mergeCell ref="I27:N27"/>
    <mergeCell ref="I24:N24"/>
    <mergeCell ref="Q10:X12"/>
    <mergeCell ref="Q13:X15"/>
    <mergeCell ref="I23:N23"/>
    <mergeCell ref="I19:N19"/>
    <mergeCell ref="I18:N18"/>
    <mergeCell ref="I21:N21"/>
    <mergeCell ref="I12:N12"/>
    <mergeCell ref="S42:X44"/>
    <mergeCell ref="I36:N36"/>
    <mergeCell ref="I31:N31"/>
    <mergeCell ref="I26:N26"/>
    <mergeCell ref="I41:N41"/>
    <mergeCell ref="I39:N39"/>
    <mergeCell ref="I35:N35"/>
    <mergeCell ref="I42:N42"/>
    <mergeCell ref="I43:N43"/>
    <mergeCell ref="I37:N37"/>
  </mergeCells>
  <printOptions/>
  <pageMargins left="0.5118110236220472" right="0.1968503937007874" top="0.3937007874015748" bottom="0" header="0.3937007874015748" footer="0"/>
  <pageSetup blackAndWhite="1" fitToHeight="1" fitToWidth="1" horizontalDpi="600" verticalDpi="600" orientation="portrait" paperSize="9" r:id="rId4"/>
  <headerFooter alignWithMargins="0">
    <oddFooter>&amp;C&amp;8(C) Lerch Treuhand AG, Itingen</oddFooter>
  </headerFooter>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0"/>
  </sheetPr>
  <dimension ref="A1:J44"/>
  <sheetViews>
    <sheetView showGridLines="0" showZeros="0" zoomScale="90" zoomScaleNormal="90" zoomScalePageLayoutView="0" workbookViewId="0" topLeftCell="A1">
      <selection activeCell="O12" sqref="O12"/>
    </sheetView>
  </sheetViews>
  <sheetFormatPr defaultColWidth="11.421875" defaultRowHeight="12.75"/>
  <cols>
    <col min="1" max="1" width="34.421875" style="0" customWidth="1"/>
    <col min="2" max="2" width="10.57421875" style="0" customWidth="1"/>
    <col min="3" max="3" width="8.28125" style="0" customWidth="1"/>
    <col min="4" max="4" width="5.57421875" style="0" customWidth="1"/>
    <col min="5" max="5" width="10.140625" style="0" customWidth="1"/>
    <col min="6" max="6" width="1.57421875" style="0" customWidth="1"/>
    <col min="7" max="7" width="9.421875" style="0" customWidth="1"/>
    <col min="8" max="8" width="8.28125" style="0" customWidth="1"/>
    <col min="9" max="9" width="1.7109375" style="0" customWidth="1"/>
    <col min="10" max="10" width="7.421875" style="0" customWidth="1"/>
  </cols>
  <sheetData>
    <row r="1" ht="23.25">
      <c r="A1" s="792">
        <f>DECKBLATT!B14</f>
        <v>0</v>
      </c>
    </row>
    <row r="2" spans="2:3" ht="18">
      <c r="B2" s="221"/>
      <c r="C2" s="221"/>
    </row>
    <row r="3" spans="1:10" ht="27" customHeight="1">
      <c r="A3" s="556" t="s">
        <v>370</v>
      </c>
      <c r="H3" s="1253">
        <f>DECKBLATT!B11</f>
        <v>43830</v>
      </c>
      <c r="I3" s="1253"/>
      <c r="J3" s="1253"/>
    </row>
    <row r="4" ht="12.75">
      <c r="A4" s="6"/>
    </row>
    <row r="5" spans="1:10" ht="12.75" customHeight="1">
      <c r="A5" s="1280" t="s">
        <v>233</v>
      </c>
      <c r="B5" s="1282" t="s">
        <v>234</v>
      </c>
      <c r="C5" s="1282" t="s">
        <v>250</v>
      </c>
      <c r="D5" s="1282" t="s">
        <v>235</v>
      </c>
      <c r="E5" s="1285" t="s">
        <v>251</v>
      </c>
      <c r="F5" s="206"/>
      <c r="G5" s="1289" t="s">
        <v>236</v>
      </c>
      <c r="H5" s="1290"/>
      <c r="I5" s="209"/>
      <c r="J5" s="1286" t="s">
        <v>237</v>
      </c>
    </row>
    <row r="6" spans="1:10" ht="8.25" customHeight="1">
      <c r="A6" s="1281"/>
      <c r="B6" s="1283"/>
      <c r="C6" s="1283"/>
      <c r="D6" s="1283"/>
      <c r="E6" s="1285"/>
      <c r="F6" s="207"/>
      <c r="G6" s="1287" t="s">
        <v>238</v>
      </c>
      <c r="H6" s="1287" t="s">
        <v>239</v>
      </c>
      <c r="I6" s="1287"/>
      <c r="J6" s="1285"/>
    </row>
    <row r="7" spans="1:10" ht="17.25" customHeight="1">
      <c r="A7" s="210" t="s">
        <v>371</v>
      </c>
      <c r="B7" s="1284"/>
      <c r="C7" s="1284"/>
      <c r="D7" s="1284"/>
      <c r="E7" s="1285"/>
      <c r="F7" s="208"/>
      <c r="G7" s="1288"/>
      <c r="H7" s="1288"/>
      <c r="I7" s="1288"/>
      <c r="J7" s="1285"/>
    </row>
    <row r="8" spans="1:10" s="18" customFormat="1" ht="19.5" customHeight="1">
      <c r="A8" s="409" t="s">
        <v>240</v>
      </c>
      <c r="B8" s="543"/>
      <c r="C8" s="544"/>
      <c r="D8" s="410"/>
      <c r="E8" s="411"/>
      <c r="F8" s="211"/>
      <c r="G8" s="545"/>
      <c r="H8" s="1278"/>
      <c r="I8" s="1278"/>
      <c r="J8" s="422">
        <f>IF(G8&gt;300,1,(1/300*G8))</f>
        <v>0</v>
      </c>
    </row>
    <row r="9" spans="1:10" s="18" customFormat="1" ht="19.5" customHeight="1">
      <c r="A9" s="412" t="s">
        <v>241</v>
      </c>
      <c r="B9" s="541"/>
      <c r="C9" s="542"/>
      <c r="D9" s="413"/>
      <c r="E9" s="414"/>
      <c r="F9" s="211"/>
      <c r="G9" s="546"/>
      <c r="H9" s="1279"/>
      <c r="I9" s="1279"/>
      <c r="J9" s="423">
        <f aca="true" t="shared" si="0" ref="J9:J18">IF(G9&gt;300,1,(1/300*G9))</f>
        <v>0</v>
      </c>
    </row>
    <row r="10" spans="1:10" s="18" customFormat="1" ht="19.5" customHeight="1">
      <c r="A10" s="415" t="s">
        <v>242</v>
      </c>
      <c r="B10" s="416"/>
      <c r="C10" s="417"/>
      <c r="D10" s="413"/>
      <c r="E10" s="414"/>
      <c r="F10" s="211"/>
      <c r="G10" s="424"/>
      <c r="H10" s="1258"/>
      <c r="I10" s="1258"/>
      <c r="J10" s="423"/>
    </row>
    <row r="11" spans="1:10" s="18" customFormat="1" ht="19.5" customHeight="1">
      <c r="A11" s="540"/>
      <c r="B11" s="541"/>
      <c r="C11" s="542"/>
      <c r="D11" s="413"/>
      <c r="E11" s="414"/>
      <c r="F11" s="211"/>
      <c r="G11" s="547"/>
      <c r="H11" s="1258"/>
      <c r="I11" s="1258"/>
      <c r="J11" s="423">
        <f>IF(G11&gt;300,1,(1/300*G11))</f>
        <v>0</v>
      </c>
    </row>
    <row r="12" spans="1:10" s="18" customFormat="1" ht="19.5" customHeight="1">
      <c r="A12" s="540"/>
      <c r="B12" s="541"/>
      <c r="C12" s="542"/>
      <c r="D12" s="413"/>
      <c r="E12" s="414"/>
      <c r="F12" s="211"/>
      <c r="G12" s="547"/>
      <c r="H12" s="1258"/>
      <c r="I12" s="1258"/>
      <c r="J12" s="423">
        <f t="shared" si="0"/>
        <v>0</v>
      </c>
    </row>
    <row r="13" spans="1:10" s="18" customFormat="1" ht="19.5" customHeight="1">
      <c r="A13" s="540"/>
      <c r="B13" s="541"/>
      <c r="C13" s="542"/>
      <c r="D13" s="413"/>
      <c r="E13" s="414"/>
      <c r="F13" s="211"/>
      <c r="G13" s="547"/>
      <c r="H13" s="1258"/>
      <c r="I13" s="1258"/>
      <c r="J13" s="423">
        <f t="shared" si="0"/>
        <v>0</v>
      </c>
    </row>
    <row r="14" spans="1:10" s="18" customFormat="1" ht="19.5" customHeight="1">
      <c r="A14" s="540"/>
      <c r="B14" s="541"/>
      <c r="C14" s="542"/>
      <c r="D14" s="413"/>
      <c r="E14" s="414"/>
      <c r="F14" s="211"/>
      <c r="G14" s="547"/>
      <c r="H14" s="1258"/>
      <c r="I14" s="1258"/>
      <c r="J14" s="423">
        <f t="shared" si="0"/>
        <v>0</v>
      </c>
    </row>
    <row r="15" spans="1:10" s="18" customFormat="1" ht="19.5" customHeight="1">
      <c r="A15" s="540"/>
      <c r="B15" s="541"/>
      <c r="C15" s="542"/>
      <c r="D15" s="413"/>
      <c r="E15" s="414"/>
      <c r="F15" s="211"/>
      <c r="G15" s="547"/>
      <c r="H15" s="1258"/>
      <c r="I15" s="1258"/>
      <c r="J15" s="423">
        <f t="shared" si="0"/>
        <v>0</v>
      </c>
    </row>
    <row r="16" spans="1:10" s="18" customFormat="1" ht="19.5" customHeight="1">
      <c r="A16" s="540"/>
      <c r="B16" s="541"/>
      <c r="C16" s="542"/>
      <c r="D16" s="413"/>
      <c r="E16" s="414"/>
      <c r="F16" s="211"/>
      <c r="G16" s="547"/>
      <c r="H16" s="1258"/>
      <c r="I16" s="1258"/>
      <c r="J16" s="423">
        <f t="shared" si="0"/>
        <v>0</v>
      </c>
    </row>
    <row r="17" spans="1:10" s="18" customFormat="1" ht="19.5" customHeight="1">
      <c r="A17" s="540"/>
      <c r="B17" s="541"/>
      <c r="C17" s="542"/>
      <c r="D17" s="413"/>
      <c r="E17" s="414"/>
      <c r="F17" s="211"/>
      <c r="G17" s="547"/>
      <c r="H17" s="1258"/>
      <c r="I17" s="1258"/>
      <c r="J17" s="423">
        <f t="shared" si="0"/>
        <v>0</v>
      </c>
    </row>
    <row r="18" spans="1:10" s="18" customFormat="1" ht="19.5" customHeight="1">
      <c r="A18" s="540"/>
      <c r="B18" s="541"/>
      <c r="C18" s="542"/>
      <c r="D18" s="413"/>
      <c r="E18" s="414"/>
      <c r="F18" s="211"/>
      <c r="G18" s="547"/>
      <c r="H18" s="1258"/>
      <c r="I18" s="1258"/>
      <c r="J18" s="423">
        <f t="shared" si="0"/>
        <v>0</v>
      </c>
    </row>
    <row r="19" spans="1:10" s="18" customFormat="1" ht="19.5" customHeight="1">
      <c r="A19" s="415" t="s">
        <v>243</v>
      </c>
      <c r="B19" s="418"/>
      <c r="C19" s="417"/>
      <c r="D19" s="413"/>
      <c r="E19" s="414"/>
      <c r="F19" s="211"/>
      <c r="G19" s="424"/>
      <c r="H19" s="1258"/>
      <c r="I19" s="1258"/>
      <c r="J19" s="425"/>
    </row>
    <row r="20" spans="1:10" s="18" customFormat="1" ht="19.5" customHeight="1">
      <c r="A20" s="548"/>
      <c r="B20" s="418"/>
      <c r="C20" s="542"/>
      <c r="D20" s="413"/>
      <c r="E20" s="414"/>
      <c r="F20" s="211"/>
      <c r="G20" s="424"/>
      <c r="H20" s="1258"/>
      <c r="I20" s="1258"/>
      <c r="J20" s="425"/>
    </row>
    <row r="21" spans="1:10" s="18" customFormat="1" ht="19.5" customHeight="1">
      <c r="A21" s="548"/>
      <c r="B21" s="418"/>
      <c r="C21" s="542"/>
      <c r="D21" s="413"/>
      <c r="E21" s="414"/>
      <c r="F21" s="211"/>
      <c r="G21" s="424"/>
      <c r="H21" s="1258"/>
      <c r="I21" s="1258"/>
      <c r="J21" s="425"/>
    </row>
    <row r="22" spans="1:10" s="18" customFormat="1" ht="19.5" customHeight="1">
      <c r="A22" s="548"/>
      <c r="B22" s="418"/>
      <c r="C22" s="542"/>
      <c r="D22" s="413"/>
      <c r="E22" s="414"/>
      <c r="F22" s="211"/>
      <c r="G22" s="424"/>
      <c r="H22" s="1258"/>
      <c r="I22" s="1258"/>
      <c r="J22" s="425"/>
    </row>
    <row r="23" spans="1:10" s="18" customFormat="1" ht="19.5" customHeight="1">
      <c r="A23" s="415" t="s">
        <v>244</v>
      </c>
      <c r="B23" s="418"/>
      <c r="C23" s="417"/>
      <c r="D23" s="413"/>
      <c r="E23" s="414"/>
      <c r="F23" s="211"/>
      <c r="G23" s="424"/>
      <c r="H23" s="1258"/>
      <c r="I23" s="1258"/>
      <c r="J23" s="425"/>
    </row>
    <row r="24" spans="1:10" s="18" customFormat="1" ht="19.5" customHeight="1">
      <c r="A24" s="548"/>
      <c r="B24" s="418"/>
      <c r="C24" s="542"/>
      <c r="D24" s="413"/>
      <c r="E24" s="414"/>
      <c r="F24" s="211"/>
      <c r="G24" s="424"/>
      <c r="H24" s="1258"/>
      <c r="I24" s="1258"/>
      <c r="J24" s="425"/>
    </row>
    <row r="25" spans="1:10" s="18" customFormat="1" ht="19.5" customHeight="1">
      <c r="A25" s="415" t="s">
        <v>245</v>
      </c>
      <c r="B25" s="418"/>
      <c r="C25" s="417"/>
      <c r="D25" s="413"/>
      <c r="E25" s="414"/>
      <c r="F25" s="211"/>
      <c r="G25" s="424"/>
      <c r="H25" s="1258"/>
      <c r="I25" s="1258"/>
      <c r="J25" s="425"/>
    </row>
    <row r="26" spans="1:10" s="18" customFormat="1" ht="19.5" customHeight="1" thickBot="1">
      <c r="A26" s="549"/>
      <c r="B26" s="419"/>
      <c r="C26" s="550"/>
      <c r="D26" s="420"/>
      <c r="E26" s="421"/>
      <c r="F26" s="211"/>
      <c r="G26" s="426"/>
      <c r="H26" s="1259"/>
      <c r="I26" s="1259"/>
      <c r="J26" s="427"/>
    </row>
    <row r="27" spans="1:10" s="18" customFormat="1" ht="19.5" customHeight="1" thickBot="1">
      <c r="A27" s="1274" t="s">
        <v>246</v>
      </c>
      <c r="B27" s="1274"/>
      <c r="C27" s="1274"/>
      <c r="D27" s="1275"/>
      <c r="E27" s="120"/>
      <c r="F27" s="212"/>
      <c r="G27" s="1276"/>
      <c r="H27" s="1276"/>
      <c r="I27" s="1277"/>
      <c r="J27" s="216">
        <f>SUM(J8:J26)</f>
        <v>0</v>
      </c>
    </row>
    <row r="28" spans="1:10" s="12" customFormat="1" ht="12.75">
      <c r="A28" s="1260"/>
      <c r="B28" s="1260"/>
      <c r="C28" s="1260"/>
      <c r="D28" s="1260"/>
      <c r="E28" s="1260"/>
      <c r="F28" s="134"/>
      <c r="G28" s="1267"/>
      <c r="H28" s="1267"/>
      <c r="I28" s="1267"/>
      <c r="J28" s="1267"/>
    </row>
    <row r="29" spans="1:10" ht="15">
      <c r="A29" s="1268" t="s">
        <v>340</v>
      </c>
      <c r="B29" s="1269"/>
      <c r="C29" s="1269"/>
      <c r="D29" s="1269"/>
      <c r="E29" s="1270"/>
      <c r="F29" s="213"/>
      <c r="G29" s="1271"/>
      <c r="H29" s="1272"/>
      <c r="I29" s="1272"/>
      <c r="J29" s="1273"/>
    </row>
    <row r="30" spans="1:10" s="18" customFormat="1" ht="19.5" customHeight="1">
      <c r="A30" s="551"/>
      <c r="B30" s="543"/>
      <c r="C30" s="544"/>
      <c r="D30" s="428"/>
      <c r="E30" s="422"/>
      <c r="F30" s="211"/>
      <c r="G30" s="552"/>
      <c r="H30" s="428"/>
      <c r="I30" s="1256">
        <f>IF(G30&gt;300,1,(1/300)*G30)</f>
        <v>0</v>
      </c>
      <c r="J30" s="1257"/>
    </row>
    <row r="31" spans="1:10" s="18" customFormat="1" ht="19.5" customHeight="1">
      <c r="A31" s="548"/>
      <c r="B31" s="541"/>
      <c r="C31" s="542"/>
      <c r="D31" s="429"/>
      <c r="E31" s="423"/>
      <c r="F31" s="211"/>
      <c r="G31" s="547"/>
      <c r="H31" s="429"/>
      <c r="I31" s="1251">
        <f aca="true" t="shared" si="1" ref="I31:I39">IF(G31&gt;300,1,(1/300)*G31)</f>
        <v>0</v>
      </c>
      <c r="J31" s="1252"/>
    </row>
    <row r="32" spans="1:10" s="18" customFormat="1" ht="19.5" customHeight="1">
      <c r="A32" s="548"/>
      <c r="B32" s="541"/>
      <c r="C32" s="542"/>
      <c r="D32" s="429"/>
      <c r="E32" s="423"/>
      <c r="F32" s="211"/>
      <c r="G32" s="547"/>
      <c r="H32" s="429"/>
      <c r="I32" s="1251">
        <f t="shared" si="1"/>
        <v>0</v>
      </c>
      <c r="J32" s="1252"/>
    </row>
    <row r="33" spans="1:10" s="18" customFormat="1" ht="19.5" customHeight="1">
      <c r="A33" s="548"/>
      <c r="B33" s="541"/>
      <c r="C33" s="542"/>
      <c r="D33" s="429"/>
      <c r="E33" s="423"/>
      <c r="F33" s="211"/>
      <c r="G33" s="547"/>
      <c r="H33" s="429"/>
      <c r="I33" s="1251">
        <f t="shared" si="1"/>
        <v>0</v>
      </c>
      <c r="J33" s="1252"/>
    </row>
    <row r="34" spans="1:10" s="18" customFormat="1" ht="19.5" customHeight="1">
      <c r="A34" s="548"/>
      <c r="B34" s="541"/>
      <c r="C34" s="542"/>
      <c r="D34" s="429"/>
      <c r="E34" s="423"/>
      <c r="F34" s="211"/>
      <c r="G34" s="547"/>
      <c r="H34" s="429"/>
      <c r="I34" s="1251">
        <f t="shared" si="1"/>
        <v>0</v>
      </c>
      <c r="J34" s="1252"/>
    </row>
    <row r="35" spans="1:10" s="18" customFormat="1" ht="19.5" customHeight="1">
      <c r="A35" s="548"/>
      <c r="B35" s="541"/>
      <c r="C35" s="542"/>
      <c r="D35" s="429"/>
      <c r="E35" s="423"/>
      <c r="F35" s="211"/>
      <c r="G35" s="547"/>
      <c r="H35" s="429"/>
      <c r="I35" s="1251">
        <f t="shared" si="1"/>
        <v>0</v>
      </c>
      <c r="J35" s="1252"/>
    </row>
    <row r="36" spans="1:10" s="18" customFormat="1" ht="19.5" customHeight="1">
      <c r="A36" s="430" t="s">
        <v>247</v>
      </c>
      <c r="B36" s="418"/>
      <c r="C36" s="417"/>
      <c r="D36" s="429"/>
      <c r="E36" s="423"/>
      <c r="F36" s="211"/>
      <c r="G36" s="433"/>
      <c r="H36" s="429"/>
      <c r="I36" s="1251"/>
      <c r="J36" s="1252"/>
    </row>
    <row r="37" spans="1:10" s="18" customFormat="1" ht="19.5" customHeight="1">
      <c r="A37" s="548"/>
      <c r="B37" s="541"/>
      <c r="C37" s="542"/>
      <c r="D37" s="429"/>
      <c r="E37" s="423"/>
      <c r="F37" s="211"/>
      <c r="G37" s="547"/>
      <c r="H37" s="429"/>
      <c r="I37" s="1251">
        <f t="shared" si="1"/>
        <v>0</v>
      </c>
      <c r="J37" s="1252"/>
    </row>
    <row r="38" spans="1:10" s="18" customFormat="1" ht="19.5" customHeight="1">
      <c r="A38" s="548"/>
      <c r="B38" s="541"/>
      <c r="C38" s="542"/>
      <c r="D38" s="429"/>
      <c r="E38" s="423"/>
      <c r="F38" s="211"/>
      <c r="G38" s="547"/>
      <c r="H38" s="429"/>
      <c r="I38" s="1251">
        <f t="shared" si="1"/>
        <v>0</v>
      </c>
      <c r="J38" s="1252"/>
    </row>
    <row r="39" spans="1:10" s="18" customFormat="1" ht="19.5" customHeight="1" thickBot="1">
      <c r="A39" s="553"/>
      <c r="B39" s="554"/>
      <c r="C39" s="555"/>
      <c r="D39" s="431"/>
      <c r="E39" s="432"/>
      <c r="F39" s="211"/>
      <c r="G39" s="768"/>
      <c r="H39" s="431"/>
      <c r="I39" s="1265">
        <f t="shared" si="1"/>
        <v>0</v>
      </c>
      <c r="J39" s="1266"/>
    </row>
    <row r="40" spans="1:10" s="18" customFormat="1" ht="19.5" customHeight="1" thickBot="1">
      <c r="A40" s="1249" t="s">
        <v>248</v>
      </c>
      <c r="B40" s="1249"/>
      <c r="C40" s="1249"/>
      <c r="D40" s="1250"/>
      <c r="E40" s="120"/>
      <c r="F40" s="212"/>
      <c r="G40" s="124"/>
      <c r="H40" s="214"/>
      <c r="I40" s="1254">
        <f>SUM(I30:J39)</f>
        <v>0</v>
      </c>
      <c r="J40" s="1255"/>
    </row>
    <row r="41" spans="1:10" ht="13.5" thickBot="1">
      <c r="A41" s="56"/>
      <c r="B41" s="56"/>
      <c r="C41" s="56"/>
      <c r="D41" s="56"/>
      <c r="E41" s="56"/>
      <c r="F41" s="56"/>
      <c r="G41" s="56"/>
      <c r="H41" s="56"/>
      <c r="I41" s="56"/>
      <c r="J41" s="56"/>
    </row>
    <row r="42" spans="1:10" s="18" customFormat="1" ht="21.75" customHeight="1" thickBot="1">
      <c r="A42" s="175" t="s">
        <v>249</v>
      </c>
      <c r="B42" s="174"/>
      <c r="C42" s="174"/>
      <c r="D42" s="174"/>
      <c r="E42" s="215"/>
      <c r="G42" s="1263"/>
      <c r="H42" s="1264"/>
      <c r="I42" s="1261">
        <f>SUM(J27+I40)</f>
        <v>0</v>
      </c>
      <c r="J42" s="1262"/>
    </row>
    <row r="43" ht="12.75">
      <c r="A43" s="10"/>
    </row>
    <row r="44" ht="18.75" customHeight="1">
      <c r="H44" s="132" t="s">
        <v>372</v>
      </c>
    </row>
  </sheetData>
  <sheetProtection sheet="1"/>
  <mergeCells count="49">
    <mergeCell ref="J5:J7"/>
    <mergeCell ref="G6:G7"/>
    <mergeCell ref="H6:I7"/>
    <mergeCell ref="G5:H5"/>
    <mergeCell ref="H12:I12"/>
    <mergeCell ref="H13:I13"/>
    <mergeCell ref="H14:I14"/>
    <mergeCell ref="H15:I15"/>
    <mergeCell ref="A5:A6"/>
    <mergeCell ref="B5:B7"/>
    <mergeCell ref="C5:C7"/>
    <mergeCell ref="D5:D7"/>
    <mergeCell ref="E5:E7"/>
    <mergeCell ref="H20:I20"/>
    <mergeCell ref="H21:I21"/>
    <mergeCell ref="H22:I22"/>
    <mergeCell ref="H23:I23"/>
    <mergeCell ref="H8:I8"/>
    <mergeCell ref="H9:I9"/>
    <mergeCell ref="H10:I10"/>
    <mergeCell ref="H11:I11"/>
    <mergeCell ref="H18:I18"/>
    <mergeCell ref="H19:I19"/>
    <mergeCell ref="I34:J34"/>
    <mergeCell ref="G28:J28"/>
    <mergeCell ref="A29:E29"/>
    <mergeCell ref="G29:J29"/>
    <mergeCell ref="A27:D27"/>
    <mergeCell ref="G27:I27"/>
    <mergeCell ref="H25:I25"/>
    <mergeCell ref="H26:I26"/>
    <mergeCell ref="H16:I16"/>
    <mergeCell ref="H17:I17"/>
    <mergeCell ref="A28:E28"/>
    <mergeCell ref="I42:J42"/>
    <mergeCell ref="G42:H42"/>
    <mergeCell ref="I39:J39"/>
    <mergeCell ref="I36:J36"/>
    <mergeCell ref="I33:J33"/>
    <mergeCell ref="A40:D40"/>
    <mergeCell ref="I37:J37"/>
    <mergeCell ref="I38:J38"/>
    <mergeCell ref="I35:J35"/>
    <mergeCell ref="H3:J3"/>
    <mergeCell ref="I40:J40"/>
    <mergeCell ref="I32:J32"/>
    <mergeCell ref="I30:J30"/>
    <mergeCell ref="I31:J31"/>
    <mergeCell ref="H24:I24"/>
  </mergeCells>
  <printOptions/>
  <pageMargins left="0.3937007874015748" right="0.2362204724409449" top="0.3937007874015748" bottom="0.15748031496062992" header="0.35433070866141736" footer="0.15748031496062992"/>
  <pageSetup blackAndWhite="1" horizontalDpi="600" verticalDpi="600" orientation="portrait" paperSize="9" r:id="rId2"/>
  <headerFooter alignWithMargins="0">
    <oddFooter>&amp;C&amp;8(C) Lerch Treuhand AG, Itingen</oddFooter>
  </headerFooter>
  <drawing r:id="rId1"/>
</worksheet>
</file>

<file path=xl/worksheets/sheet23.xml><?xml version="1.0" encoding="utf-8"?>
<worksheet xmlns="http://schemas.openxmlformats.org/spreadsheetml/2006/main" xmlns:r="http://schemas.openxmlformats.org/officeDocument/2006/relationships">
  <sheetPr codeName="Tabelle21">
    <tabColor indexed="10"/>
  </sheetPr>
  <dimension ref="A1:I47"/>
  <sheetViews>
    <sheetView showGridLines="0" zoomScale="90" zoomScaleNormal="90" zoomScalePageLayoutView="0" workbookViewId="0" topLeftCell="A1">
      <selection activeCell="M12" sqref="M12"/>
    </sheetView>
  </sheetViews>
  <sheetFormatPr defaultColWidth="11.421875" defaultRowHeight="12.75"/>
  <cols>
    <col min="1" max="1" width="3.00390625" style="0" customWidth="1"/>
    <col min="2" max="2" width="29.140625" style="0" customWidth="1"/>
    <col min="3" max="3" width="2.140625" style="0" customWidth="1"/>
    <col min="4" max="4" width="15.421875" style="0" customWidth="1"/>
    <col min="5" max="5" width="14.57421875" style="0" customWidth="1"/>
    <col min="6" max="6" width="2.00390625" style="0" customWidth="1"/>
    <col min="7" max="7" width="15.28125" style="0" customWidth="1"/>
    <col min="8" max="8" width="12.57421875" style="0" customWidth="1"/>
    <col min="9" max="9" width="2.8515625" style="0" customWidth="1"/>
    <col min="13" max="13" width="11.00390625" style="0" customWidth="1"/>
  </cols>
  <sheetData>
    <row r="1" spans="1:2" ht="23.25">
      <c r="A1" s="792">
        <f>DECKBLATT!B14</f>
        <v>0</v>
      </c>
      <c r="B1" s="792"/>
    </row>
    <row r="2" spans="1:9" ht="29.25" customHeight="1">
      <c r="A2" s="221"/>
      <c r="B2" s="221"/>
      <c r="C2" s="88"/>
      <c r="I2" s="15"/>
    </row>
    <row r="3" ht="8.25" customHeight="1">
      <c r="A3" s="5"/>
    </row>
    <row r="4" spans="1:8" ht="26.25">
      <c r="A4" s="5" t="s">
        <v>448</v>
      </c>
      <c r="H4" s="821">
        <v>2019</v>
      </c>
    </row>
    <row r="5" ht="12" customHeight="1">
      <c r="A5" s="5"/>
    </row>
    <row r="6" spans="1:9" ht="14.25" customHeight="1">
      <c r="A6" s="58"/>
      <c r="B6" s="59"/>
      <c r="C6" s="59"/>
      <c r="D6" s="59"/>
      <c r="E6" s="59"/>
      <c r="F6" s="59"/>
      <c r="G6" s="118"/>
      <c r="H6" s="59"/>
      <c r="I6" s="60"/>
    </row>
    <row r="7" spans="1:9" s="51" customFormat="1" ht="18">
      <c r="A7" s="61"/>
      <c r="B7" s="62" t="s">
        <v>267</v>
      </c>
      <c r="C7" s="62"/>
      <c r="D7" s="742"/>
      <c r="E7" s="742"/>
      <c r="F7" s="742"/>
      <c r="G7" s="743"/>
      <c r="H7" s="742"/>
      <c r="I7" s="63"/>
    </row>
    <row r="8" spans="1:9" s="51" customFormat="1" ht="18">
      <c r="A8" s="61"/>
      <c r="B8" s="62" t="s">
        <v>268</v>
      </c>
      <c r="C8" s="62"/>
      <c r="D8" s="742"/>
      <c r="E8" s="742"/>
      <c r="F8" s="742"/>
      <c r="G8" s="742"/>
      <c r="H8" s="742"/>
      <c r="I8" s="63"/>
    </row>
    <row r="9" spans="1:9" s="51" customFormat="1" ht="18">
      <c r="A9" s="61"/>
      <c r="B9" s="62" t="s">
        <v>269</v>
      </c>
      <c r="C9" s="62"/>
      <c r="D9" s="742"/>
      <c r="E9" s="742"/>
      <c r="F9" s="742"/>
      <c r="G9" s="742"/>
      <c r="H9" s="742"/>
      <c r="I9" s="63"/>
    </row>
    <row r="10" spans="1:9" s="51" customFormat="1" ht="8.25" customHeight="1">
      <c r="A10" s="61"/>
      <c r="B10" s="54"/>
      <c r="C10" s="54"/>
      <c r="D10" s="744"/>
      <c r="E10" s="744"/>
      <c r="F10" s="744"/>
      <c r="G10" s="744"/>
      <c r="H10" s="744"/>
      <c r="I10" s="63"/>
    </row>
    <row r="11" spans="1:9" ht="18">
      <c r="A11" s="61"/>
      <c r="B11" s="54" t="s">
        <v>252</v>
      </c>
      <c r="C11" s="54"/>
      <c r="D11" s="54"/>
      <c r="E11" s="54"/>
      <c r="F11" s="54"/>
      <c r="G11" s="54"/>
      <c r="H11" s="54"/>
      <c r="I11" s="63"/>
    </row>
    <row r="12" spans="1:9" ht="18">
      <c r="A12" s="61"/>
      <c r="B12" s="1291"/>
      <c r="C12" s="1292"/>
      <c r="D12" s="1292"/>
      <c r="E12" s="1292"/>
      <c r="F12" s="1292"/>
      <c r="G12" s="1292"/>
      <c r="H12" s="1293"/>
      <c r="I12" s="63"/>
    </row>
    <row r="13" spans="1:9" ht="18">
      <c r="A13" s="61"/>
      <c r="B13" s="1294"/>
      <c r="C13" s="1295"/>
      <c r="D13" s="1295"/>
      <c r="E13" s="1295"/>
      <c r="F13" s="1295"/>
      <c r="G13" s="1295"/>
      <c r="H13" s="1296"/>
      <c r="I13" s="63"/>
    </row>
    <row r="14" spans="1:9" ht="18">
      <c r="A14" s="61"/>
      <c r="B14" s="1294"/>
      <c r="C14" s="1295"/>
      <c r="D14" s="1295"/>
      <c r="E14" s="1295"/>
      <c r="F14" s="1295"/>
      <c r="G14" s="1295"/>
      <c r="H14" s="1296"/>
      <c r="I14" s="63"/>
    </row>
    <row r="15" spans="1:9" ht="18">
      <c r="A15" s="61"/>
      <c r="B15" s="1297"/>
      <c r="C15" s="1298"/>
      <c r="D15" s="1298"/>
      <c r="E15" s="1298"/>
      <c r="F15" s="1298"/>
      <c r="G15" s="1298"/>
      <c r="H15" s="1299"/>
      <c r="I15" s="63"/>
    </row>
    <row r="16" spans="1:9" ht="15.75" customHeight="1">
      <c r="A16" s="64"/>
      <c r="B16" s="57"/>
      <c r="C16" s="57"/>
      <c r="D16" s="57"/>
      <c r="E16" s="57"/>
      <c r="F16" s="57"/>
      <c r="G16" s="57"/>
      <c r="H16" s="57"/>
      <c r="I16" s="65"/>
    </row>
    <row r="17" ht="10.5" customHeight="1"/>
    <row r="18" spans="1:9" ht="24.75" customHeight="1">
      <c r="A18" s="77"/>
      <c r="B18" s="958" t="s">
        <v>253</v>
      </c>
      <c r="C18" s="958"/>
      <c r="D18" s="958"/>
      <c r="E18" s="958"/>
      <c r="F18" s="958"/>
      <c r="G18" s="958"/>
      <c r="H18" s="958"/>
      <c r="I18" s="964"/>
    </row>
    <row r="19" spans="1:9" ht="14.25">
      <c r="A19" s="67"/>
      <c r="B19" s="68" t="s">
        <v>254</v>
      </c>
      <c r="C19" s="68"/>
      <c r="D19" s="1319" t="s">
        <v>255</v>
      </c>
      <c r="E19" s="1319"/>
      <c r="F19" s="68"/>
      <c r="G19" s="1316" t="s">
        <v>256</v>
      </c>
      <c r="H19" s="1316"/>
      <c r="I19" s="69"/>
    </row>
    <row r="20" spans="1:9" ht="16.5">
      <c r="A20" s="70"/>
      <c r="B20" s="80" t="s">
        <v>257</v>
      </c>
      <c r="C20" s="81"/>
      <c r="D20" s="1309" t="s">
        <v>258</v>
      </c>
      <c r="E20" s="1309"/>
      <c r="F20" s="81"/>
      <c r="G20" s="1309" t="s">
        <v>259</v>
      </c>
      <c r="H20" s="1309"/>
      <c r="I20" s="71"/>
    </row>
    <row r="21" spans="1:9" s="85" customFormat="1" ht="18.75">
      <c r="A21" s="72"/>
      <c r="B21" s="736"/>
      <c r="C21" s="83"/>
      <c r="D21" s="1310"/>
      <c r="E21" s="1310"/>
      <c r="F21" s="83"/>
      <c r="G21" s="1310"/>
      <c r="H21" s="1310"/>
      <c r="I21" s="73"/>
    </row>
    <row r="22" spans="1:9" s="85" customFormat="1" ht="18.75">
      <c r="A22" s="72"/>
      <c r="B22" s="737"/>
      <c r="C22" s="83"/>
      <c r="D22" s="1313"/>
      <c r="E22" s="1313"/>
      <c r="F22" s="83"/>
      <c r="G22" s="1313"/>
      <c r="H22" s="1313"/>
      <c r="I22" s="73"/>
    </row>
    <row r="23" spans="1:9" s="85" customFormat="1" ht="18.75">
      <c r="A23" s="72"/>
      <c r="B23" s="740"/>
      <c r="C23" s="83"/>
      <c r="D23" s="1313"/>
      <c r="E23" s="1313"/>
      <c r="F23" s="83"/>
      <c r="G23" s="1313"/>
      <c r="H23" s="1313"/>
      <c r="I23" s="73"/>
    </row>
    <row r="24" spans="1:9" s="18" customFormat="1" ht="14.25" customHeight="1">
      <c r="A24" s="78"/>
      <c r="B24" s="55" t="s">
        <v>260</v>
      </c>
      <c r="C24" s="55"/>
      <c r="D24" s="1317" t="s">
        <v>261</v>
      </c>
      <c r="E24" s="1317"/>
      <c r="F24" s="55"/>
      <c r="G24" s="1318"/>
      <c r="H24" s="1318"/>
      <c r="I24" s="79"/>
    </row>
    <row r="25" spans="1:9" ht="16.5">
      <c r="A25" s="70"/>
      <c r="B25" s="80" t="s">
        <v>539</v>
      </c>
      <c r="C25" s="81"/>
      <c r="D25" s="1309" t="s">
        <v>412</v>
      </c>
      <c r="E25" s="1309"/>
      <c r="F25" s="81"/>
      <c r="G25" s="1309" t="s">
        <v>540</v>
      </c>
      <c r="H25" s="1309"/>
      <c r="I25" s="71"/>
    </row>
    <row r="26" spans="1:9" s="18" customFormat="1" ht="18.75">
      <c r="A26" s="82"/>
      <c r="B26" s="738"/>
      <c r="C26" s="83"/>
      <c r="D26" s="1310"/>
      <c r="E26" s="1310"/>
      <c r="F26" s="83"/>
      <c r="G26" s="1311"/>
      <c r="H26" s="1311"/>
      <c r="I26" s="84"/>
    </row>
    <row r="27" spans="1:9" s="18" customFormat="1" ht="18.75">
      <c r="A27" s="82"/>
      <c r="B27" s="739"/>
      <c r="C27" s="83"/>
      <c r="D27" s="1313"/>
      <c r="E27" s="1313"/>
      <c r="F27" s="83"/>
      <c r="G27" s="1314"/>
      <c r="H27" s="1314"/>
      <c r="I27" s="84"/>
    </row>
    <row r="28" spans="1:9" s="18" customFormat="1" ht="18.75">
      <c r="A28" s="82"/>
      <c r="B28" s="739"/>
      <c r="C28" s="83"/>
      <c r="D28" s="1313"/>
      <c r="E28" s="1313"/>
      <c r="F28" s="83"/>
      <c r="G28" s="1314"/>
      <c r="H28" s="1314"/>
      <c r="I28" s="84"/>
    </row>
    <row r="29" spans="1:9" s="18" customFormat="1" ht="18.75">
      <c r="A29" s="82"/>
      <c r="B29" s="739"/>
      <c r="C29" s="83"/>
      <c r="D29" s="1313"/>
      <c r="E29" s="1313"/>
      <c r="F29" s="83"/>
      <c r="G29" s="1314"/>
      <c r="H29" s="1314"/>
      <c r="I29" s="84"/>
    </row>
    <row r="30" spans="1:9" s="18" customFormat="1" ht="18.75">
      <c r="A30" s="82"/>
      <c r="B30" s="741"/>
      <c r="C30" s="83"/>
      <c r="D30" s="1315"/>
      <c r="E30" s="1315"/>
      <c r="F30" s="83"/>
      <c r="G30" s="1312"/>
      <c r="H30" s="1312"/>
      <c r="I30" s="84"/>
    </row>
    <row r="31" spans="1:9" ht="12.75">
      <c r="A31" s="74"/>
      <c r="B31" s="75"/>
      <c r="C31" s="75"/>
      <c r="D31" s="75"/>
      <c r="E31" s="75"/>
      <c r="F31" s="75"/>
      <c r="G31" s="75"/>
      <c r="H31" s="75"/>
      <c r="I31" s="76"/>
    </row>
    <row r="32" ht="10.5" customHeight="1">
      <c r="A32" s="9"/>
    </row>
    <row r="33" spans="1:9" s="18" customFormat="1" ht="24" customHeight="1">
      <c r="A33" s="77"/>
      <c r="B33" s="958" t="s">
        <v>262</v>
      </c>
      <c r="C33" s="958"/>
      <c r="D33" s="958"/>
      <c r="E33" s="958"/>
      <c r="F33" s="958"/>
      <c r="G33" s="958"/>
      <c r="H33" s="958"/>
      <c r="I33" s="964"/>
    </row>
    <row r="34" spans="1:9" ht="14.25">
      <c r="A34" s="67"/>
      <c r="B34" s="68" t="s">
        <v>263</v>
      </c>
      <c r="C34" s="68"/>
      <c r="D34" s="1316" t="s">
        <v>264</v>
      </c>
      <c r="E34" s="1316"/>
      <c r="F34" s="68"/>
      <c r="G34" s="1316" t="s">
        <v>265</v>
      </c>
      <c r="H34" s="1316"/>
      <c r="I34" s="69"/>
    </row>
    <row r="35" spans="1:9" ht="16.5">
      <c r="A35" s="70"/>
      <c r="B35" s="80" t="s">
        <v>266</v>
      </c>
      <c r="C35" s="81"/>
      <c r="D35" s="1309" t="s">
        <v>538</v>
      </c>
      <c r="E35" s="1309"/>
      <c r="F35" s="81"/>
      <c r="G35" s="1309" t="s">
        <v>524</v>
      </c>
      <c r="H35" s="1309"/>
      <c r="I35" s="71"/>
    </row>
    <row r="36" spans="1:9" ht="18.75">
      <c r="A36" s="72"/>
      <c r="B36" s="736"/>
      <c r="C36" s="66"/>
      <c r="D36" s="1310"/>
      <c r="E36" s="1310"/>
      <c r="F36" s="66"/>
      <c r="G36" s="1311"/>
      <c r="H36" s="1311"/>
      <c r="I36" s="73"/>
    </row>
    <row r="37" spans="1:9" ht="18.75">
      <c r="A37" s="72"/>
      <c r="B37" s="737"/>
      <c r="C37" s="66"/>
      <c r="D37" s="1313"/>
      <c r="E37" s="1313"/>
      <c r="F37" s="66"/>
      <c r="G37" s="1314"/>
      <c r="H37" s="1314"/>
      <c r="I37" s="73"/>
    </row>
    <row r="38" spans="1:9" ht="18.75">
      <c r="A38" s="72"/>
      <c r="B38" s="737"/>
      <c r="C38" s="66"/>
      <c r="D38" s="1313"/>
      <c r="E38" s="1313"/>
      <c r="F38" s="66"/>
      <c r="G38" s="1314"/>
      <c r="H38" s="1314"/>
      <c r="I38" s="73"/>
    </row>
    <row r="39" spans="1:9" ht="18.75">
      <c r="A39" s="72"/>
      <c r="B39" s="740"/>
      <c r="C39" s="66"/>
      <c r="D39" s="1315"/>
      <c r="E39" s="1315"/>
      <c r="F39" s="66"/>
      <c r="G39" s="1312"/>
      <c r="H39" s="1312"/>
      <c r="I39" s="73"/>
    </row>
    <row r="40" spans="1:9" ht="12.75">
      <c r="A40" s="74"/>
      <c r="B40" s="75"/>
      <c r="C40" s="75"/>
      <c r="D40" s="75"/>
      <c r="E40" s="75"/>
      <c r="F40" s="75"/>
      <c r="G40" s="75"/>
      <c r="H40" s="75"/>
      <c r="I40" s="76"/>
    </row>
    <row r="42" spans="1:9" ht="23.25" customHeight="1">
      <c r="A42" s="77"/>
      <c r="B42" s="1305" t="s">
        <v>494</v>
      </c>
      <c r="C42" s="1305"/>
      <c r="D42" s="1305"/>
      <c r="E42" s="1305"/>
      <c r="F42" s="1305"/>
      <c r="G42" s="1305"/>
      <c r="H42" s="1305"/>
      <c r="I42" s="1306"/>
    </row>
    <row r="43" spans="1:9" ht="14.25" customHeight="1">
      <c r="A43" s="67"/>
      <c r="B43" s="1307" t="s">
        <v>461</v>
      </c>
      <c r="C43" s="571"/>
      <c r="D43" s="1307" t="s">
        <v>462</v>
      </c>
      <c r="E43" s="1307"/>
      <c r="F43" s="571"/>
      <c r="G43" s="1307" t="s">
        <v>469</v>
      </c>
      <c r="H43" s="1307"/>
      <c r="I43" s="69"/>
    </row>
    <row r="44" spans="1:9" ht="16.5" customHeight="1">
      <c r="A44" s="70"/>
      <c r="B44" s="1308"/>
      <c r="C44" s="577"/>
      <c r="D44" s="1308"/>
      <c r="E44" s="1308"/>
      <c r="F44" s="577"/>
      <c r="G44" s="1308"/>
      <c r="H44" s="1308"/>
      <c r="I44" s="71"/>
    </row>
    <row r="45" spans="1:9" ht="18.75">
      <c r="A45" s="72"/>
      <c r="B45" s="788"/>
      <c r="C45" s="66"/>
      <c r="D45" s="1303"/>
      <c r="E45" s="1303"/>
      <c r="F45" s="66"/>
      <c r="G45" s="1304"/>
      <c r="H45" s="1304"/>
      <c r="I45" s="73"/>
    </row>
    <row r="46" spans="1:9" ht="18.75">
      <c r="A46" s="72"/>
      <c r="B46" s="789"/>
      <c r="C46" s="66"/>
      <c r="D46" s="1300"/>
      <c r="E46" s="1300"/>
      <c r="F46" s="66"/>
      <c r="G46" s="1301"/>
      <c r="H46" s="1302"/>
      <c r="I46" s="73"/>
    </row>
    <row r="47" spans="1:9" ht="12.75">
      <c r="A47" s="74"/>
      <c r="B47" s="75"/>
      <c r="C47" s="75"/>
      <c r="D47" s="75"/>
      <c r="E47" s="75"/>
      <c r="F47" s="75"/>
      <c r="G47" s="75"/>
      <c r="H47" s="75"/>
      <c r="I47" s="76"/>
    </row>
  </sheetData>
  <sheetProtection sheet="1"/>
  <mergeCells count="47">
    <mergeCell ref="B18:I18"/>
    <mergeCell ref="B33:I33"/>
    <mergeCell ref="D19:E19"/>
    <mergeCell ref="D20:E20"/>
    <mergeCell ref="D21:E21"/>
    <mergeCell ref="D22:E22"/>
    <mergeCell ref="D23:E23"/>
    <mergeCell ref="G19:H19"/>
    <mergeCell ref="G20:H20"/>
    <mergeCell ref="G21:H21"/>
    <mergeCell ref="G22:H22"/>
    <mergeCell ref="G23:H23"/>
    <mergeCell ref="D29:E29"/>
    <mergeCell ref="D30:E30"/>
    <mergeCell ref="D24:E24"/>
    <mergeCell ref="G24:H24"/>
    <mergeCell ref="D25:E25"/>
    <mergeCell ref="D26:E26"/>
    <mergeCell ref="D34:E34"/>
    <mergeCell ref="G34:H34"/>
    <mergeCell ref="G25:H25"/>
    <mergeCell ref="G26:H26"/>
    <mergeCell ref="G27:H27"/>
    <mergeCell ref="G28:H28"/>
    <mergeCell ref="G29:H29"/>
    <mergeCell ref="G30:H30"/>
    <mergeCell ref="D27:E27"/>
    <mergeCell ref="D28:E28"/>
    <mergeCell ref="G36:H36"/>
    <mergeCell ref="G39:H39"/>
    <mergeCell ref="G43:H44"/>
    <mergeCell ref="D43:E44"/>
    <mergeCell ref="D37:E37"/>
    <mergeCell ref="G37:H37"/>
    <mergeCell ref="D38:E38"/>
    <mergeCell ref="D39:E39"/>
    <mergeCell ref="G38:H38"/>
    <mergeCell ref="B12:H15"/>
    <mergeCell ref="D46:E46"/>
    <mergeCell ref="G46:H46"/>
    <mergeCell ref="D45:E45"/>
    <mergeCell ref="G45:H45"/>
    <mergeCell ref="B42:I42"/>
    <mergeCell ref="B43:B44"/>
    <mergeCell ref="D35:E35"/>
    <mergeCell ref="G35:H35"/>
    <mergeCell ref="D36:E36"/>
  </mergeCells>
  <printOptions/>
  <pageMargins left="0.4330708661417323" right="0.31496062992125984" top="0.3937007874015748" bottom="0.15748031496062992" header="0.35433070866141736" footer="0.15748031496062992"/>
  <pageSetup blackAndWhite="1" horizontalDpi="600" verticalDpi="600" orientation="portrait" paperSize="9" r:id="rId3"/>
  <headerFooter alignWithMargins="0">
    <oddFooter>&amp;C&amp;8(C) Lerch Treuhand AG, Itingen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tabColor indexed="10"/>
  </sheetPr>
  <dimension ref="A1:E44"/>
  <sheetViews>
    <sheetView showGridLines="0" showZeros="0" zoomScalePageLayoutView="0" workbookViewId="0" topLeftCell="A13">
      <selection activeCell="F37" sqref="F36:F37"/>
    </sheetView>
  </sheetViews>
  <sheetFormatPr defaultColWidth="11.421875" defaultRowHeight="12.75"/>
  <cols>
    <col min="1" max="1" width="21.57421875" style="4" customWidth="1"/>
    <col min="2" max="2" width="21.140625" style="4" customWidth="1"/>
    <col min="3" max="3" width="4.57421875" style="4" customWidth="1"/>
    <col min="4" max="4" width="39.00390625" style="4" customWidth="1"/>
    <col min="5" max="16384" width="11.421875" style="4" customWidth="1"/>
  </cols>
  <sheetData>
    <row r="1" ht="14.25">
      <c r="D1" s="766" t="s">
        <v>395</v>
      </c>
    </row>
    <row r="2" ht="14.25">
      <c r="D2" s="766" t="s">
        <v>397</v>
      </c>
    </row>
    <row r="3" ht="14.25">
      <c r="D3" s="766" t="s">
        <v>396</v>
      </c>
    </row>
    <row r="4" ht="12.75"/>
    <row r="5" ht="25.5" customHeight="1"/>
    <row r="7" spans="2:4" ht="33.75">
      <c r="B7" s="882" t="s">
        <v>271</v>
      </c>
      <c r="C7" s="882"/>
      <c r="D7" s="882"/>
    </row>
    <row r="8" ht="17.25" customHeight="1"/>
    <row r="9" spans="2:5" ht="12.75">
      <c r="B9" s="110"/>
      <c r="C9" s="110"/>
      <c r="D9" s="110"/>
      <c r="E9" s="86"/>
    </row>
    <row r="10" spans="1:4" ht="12.75">
      <c r="A10" s="110"/>
      <c r="B10" s="110"/>
      <c r="C10" s="110"/>
      <c r="D10" s="110"/>
    </row>
    <row r="11" spans="1:4" ht="26.25">
      <c r="A11" s="119" t="s">
        <v>272</v>
      </c>
      <c r="B11" s="881">
        <v>43830</v>
      </c>
      <c r="C11" s="881"/>
      <c r="D11" s="881"/>
    </row>
    <row r="12" spans="1:4" ht="12.75">
      <c r="A12" s="110"/>
      <c r="B12" s="110"/>
      <c r="C12" s="110"/>
      <c r="D12" s="110"/>
    </row>
    <row r="14" spans="1:4" ht="50.25" customHeight="1">
      <c r="A14" s="491" t="s">
        <v>279</v>
      </c>
      <c r="B14" s="886"/>
      <c r="C14" s="886"/>
      <c r="D14" s="886"/>
    </row>
    <row r="15" spans="2:4" ht="21" customHeight="1">
      <c r="B15" s="489"/>
      <c r="C15" s="490"/>
      <c r="D15" s="490"/>
    </row>
    <row r="16" spans="1:4" ht="30" customHeight="1">
      <c r="A16" s="119" t="s">
        <v>273</v>
      </c>
      <c r="B16" s="886"/>
      <c r="C16" s="886"/>
      <c r="D16" s="886"/>
    </row>
    <row r="17" spans="2:4" ht="21" customHeight="1">
      <c r="B17" s="489"/>
      <c r="C17" s="490"/>
      <c r="D17" s="490"/>
    </row>
    <row r="18" spans="1:4" ht="30" customHeight="1">
      <c r="A18" s="119" t="s">
        <v>274</v>
      </c>
      <c r="B18" s="886"/>
      <c r="C18" s="886"/>
      <c r="D18" s="886"/>
    </row>
    <row r="19" spans="2:4" ht="21" customHeight="1">
      <c r="B19" s="489"/>
      <c r="C19" s="490"/>
      <c r="D19" s="490"/>
    </row>
    <row r="20" spans="1:4" ht="12.75" customHeight="1">
      <c r="A20" s="884" t="s">
        <v>275</v>
      </c>
      <c r="B20" s="883"/>
      <c r="C20" s="883"/>
      <c r="D20" s="883"/>
    </row>
    <row r="21" spans="1:4" ht="12.75">
      <c r="A21" s="885"/>
      <c r="B21" s="883"/>
      <c r="C21" s="883"/>
      <c r="D21" s="883"/>
    </row>
    <row r="22" spans="1:4" ht="12.75">
      <c r="A22" s="885"/>
      <c r="B22" s="883"/>
      <c r="C22" s="883"/>
      <c r="D22" s="883"/>
    </row>
    <row r="23" spans="1:4" ht="12.75">
      <c r="A23" s="885"/>
      <c r="B23" s="883"/>
      <c r="C23" s="883"/>
      <c r="D23" s="883"/>
    </row>
    <row r="24" spans="1:4" ht="12.75">
      <c r="A24" s="885"/>
      <c r="B24" s="883"/>
      <c r="C24" s="883"/>
      <c r="D24" s="883"/>
    </row>
    <row r="25" ht="6.75" customHeight="1"/>
    <row r="26" spans="1:4" ht="21" customHeight="1" thickBot="1">
      <c r="A26" s="244"/>
      <c r="B26" s="244"/>
      <c r="C26" s="244"/>
      <c r="D26" s="244"/>
    </row>
    <row r="27" spans="2:5" s="85" customFormat="1" ht="18.75">
      <c r="B27" s="535"/>
      <c r="C27" s="535"/>
      <c r="D27" s="535"/>
      <c r="E27" s="535"/>
    </row>
    <row r="28" s="85" customFormat="1" ht="0.75" customHeight="1"/>
    <row r="29" spans="1:5" s="85" customFormat="1" ht="22.5" customHeight="1">
      <c r="A29" s="8" t="s">
        <v>435</v>
      </c>
      <c r="B29" s="534" t="s">
        <v>436</v>
      </c>
      <c r="C29" s="534"/>
      <c r="D29" s="534"/>
      <c r="E29" s="4"/>
    </row>
    <row r="30" spans="1:5" s="85" customFormat="1" ht="17.25" customHeight="1">
      <c r="A30" s="529"/>
      <c r="B30" s="4"/>
      <c r="C30" s="4"/>
      <c r="D30" s="4"/>
      <c r="E30" s="4"/>
    </row>
    <row r="31" spans="1:5" s="85" customFormat="1" ht="22.5" customHeight="1">
      <c r="A31" s="529"/>
      <c r="B31" s="880"/>
      <c r="C31" s="880"/>
      <c r="D31" s="880"/>
      <c r="E31" s="4"/>
    </row>
    <row r="32" spans="1:5" s="85" customFormat="1" ht="22.5" customHeight="1">
      <c r="A32" s="529"/>
      <c r="B32" s="4"/>
      <c r="C32" s="4"/>
      <c r="D32" s="4"/>
      <c r="E32" s="4"/>
    </row>
    <row r="33" spans="1:5" s="85" customFormat="1" ht="18.75">
      <c r="A33" s="8" t="s">
        <v>390</v>
      </c>
      <c r="B33" s="4" t="s">
        <v>387</v>
      </c>
      <c r="C33" s="4"/>
      <c r="D33" s="530"/>
      <c r="E33" s="4"/>
    </row>
    <row r="34" spans="1:5" s="85" customFormat="1" ht="18.75">
      <c r="A34" s="4"/>
      <c r="B34" s="4" t="s">
        <v>388</v>
      </c>
      <c r="C34" s="4"/>
      <c r="D34" s="4"/>
      <c r="E34" s="4"/>
    </row>
    <row r="35" spans="1:5" s="85" customFormat="1" ht="18.75">
      <c r="A35" s="4"/>
      <c r="B35" s="4" t="s">
        <v>389</v>
      </c>
      <c r="C35" s="4"/>
      <c r="D35" s="4"/>
      <c r="E35" s="4"/>
    </row>
    <row r="36" spans="1:5" s="85" customFormat="1" ht="25.5" customHeight="1">
      <c r="A36" s="4"/>
      <c r="B36" s="4"/>
      <c r="C36" s="4"/>
      <c r="D36" s="4"/>
      <c r="E36" s="4"/>
    </row>
    <row r="37" spans="1:5" s="85" customFormat="1" ht="12.75" customHeight="1">
      <c r="A37" s="8" t="s">
        <v>394</v>
      </c>
      <c r="B37" s="531" t="s">
        <v>393</v>
      </c>
      <c r="C37" s="4"/>
      <c r="D37" s="691"/>
      <c r="E37" s="4"/>
    </row>
    <row r="38" spans="1:5" s="85" customFormat="1" ht="10.5" customHeight="1">
      <c r="A38" s="532"/>
      <c r="B38" s="531"/>
      <c r="C38" s="4"/>
      <c r="D38" s="138"/>
      <c r="E38" s="4"/>
    </row>
    <row r="39" spans="1:4" ht="12.75">
      <c r="A39" s="533"/>
      <c r="B39" s="531" t="s">
        <v>39</v>
      </c>
      <c r="D39" s="691"/>
    </row>
    <row r="40" spans="1:5" s="85" customFormat="1" ht="10.5" customHeight="1">
      <c r="A40" s="4"/>
      <c r="B40" s="531"/>
      <c r="C40" s="4"/>
      <c r="D40" s="138"/>
      <c r="E40" s="4"/>
    </row>
    <row r="41" spans="2:4" ht="12.75">
      <c r="B41" s="531" t="s">
        <v>391</v>
      </c>
      <c r="D41" s="691"/>
    </row>
    <row r="42" spans="1:5" s="85" customFormat="1" ht="10.5" customHeight="1">
      <c r="A42" s="4"/>
      <c r="B42" s="531"/>
      <c r="C42" s="4"/>
      <c r="D42" s="138"/>
      <c r="E42" s="4"/>
    </row>
    <row r="43" spans="2:4" ht="12.75">
      <c r="B43" s="531" t="s">
        <v>392</v>
      </c>
      <c r="D43" s="691"/>
    </row>
    <row r="44" ht="12.75">
      <c r="D44" s="534"/>
    </row>
  </sheetData>
  <sheetProtection sheet="1"/>
  <protectedRanges>
    <protectedRange sqref="B31" name="Bereich5"/>
    <protectedRange sqref="D37" name="Bereich1"/>
    <protectedRange sqref="D39" name="Bereich2"/>
    <protectedRange sqref="D41" name="Bereich3"/>
    <protectedRange sqref="D43" name="Bereich4"/>
  </protectedRanges>
  <mergeCells count="8">
    <mergeCell ref="B31:D31"/>
    <mergeCell ref="B11:D11"/>
    <mergeCell ref="B7:D7"/>
    <mergeCell ref="B20:D24"/>
    <mergeCell ref="A20:A24"/>
    <mergeCell ref="B14:D14"/>
    <mergeCell ref="B16:D16"/>
    <mergeCell ref="B18:D18"/>
  </mergeCells>
  <printOptions/>
  <pageMargins left="0.8661417322834646" right="0.35433070866141736" top="0.7086614173228347" bottom="0.5118110236220472" header="0.5118110236220472" footer="0.35433070866141736"/>
  <pageSetup blackAndWhite="1" horizontalDpi="600" verticalDpi="600" orientation="portrait" paperSize="9" r:id="rId3"/>
  <headerFooter alignWithMargins="0">
    <oddFooter>&amp;L    Druckdatum: &amp;D&amp;C&amp;8(C) Lerch Treuhand AG, Itingen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10"/>
  </sheetPr>
  <dimension ref="A1:L46"/>
  <sheetViews>
    <sheetView showGridLines="0" showZeros="0" zoomScale="90" zoomScaleNormal="90" zoomScalePageLayoutView="0" workbookViewId="0" topLeftCell="A1">
      <selection activeCell="C9" sqref="C9:D9"/>
    </sheetView>
  </sheetViews>
  <sheetFormatPr defaultColWidth="11.421875" defaultRowHeight="12.75"/>
  <cols>
    <col min="1" max="1" width="39.8515625" style="0" customWidth="1"/>
    <col min="2" max="3" width="9.140625" style="0" customWidth="1"/>
    <col min="4" max="4" width="3.140625" style="0" customWidth="1"/>
    <col min="5" max="5" width="7.7109375" style="0" customWidth="1"/>
    <col min="6" max="6" width="2.7109375" style="0" customWidth="1"/>
    <col min="7" max="7" width="7.421875" style="0" customWidth="1"/>
    <col min="8" max="8" width="9.140625" style="0" customWidth="1"/>
    <col min="9" max="9" width="11.140625" style="0" customWidth="1"/>
    <col min="10" max="10" width="5.00390625" style="0" customWidth="1"/>
  </cols>
  <sheetData>
    <row r="1" spans="1:7" ht="23.25" customHeight="1">
      <c r="A1" s="937">
        <f>DECKBLATT!B14</f>
        <v>0</v>
      </c>
      <c r="B1" s="937"/>
      <c r="C1" s="937"/>
      <c r="E1" s="12"/>
      <c r="F1" s="12"/>
      <c r="G1" s="12"/>
    </row>
    <row r="2" spans="4:7" ht="14.25" customHeight="1">
      <c r="D2" s="12"/>
      <c r="E2" s="12"/>
      <c r="F2" s="12"/>
      <c r="G2" s="12"/>
    </row>
    <row r="3" spans="1:9" ht="17.25" customHeight="1">
      <c r="A3" s="918" t="s">
        <v>447</v>
      </c>
      <c r="E3" s="89"/>
      <c r="F3" s="89"/>
      <c r="G3" s="20"/>
      <c r="H3" s="943">
        <f>DECKBLATT!B11</f>
        <v>43830</v>
      </c>
      <c r="I3" s="943"/>
    </row>
    <row r="4" spans="1:9" ht="19.5" customHeight="1">
      <c r="A4" s="918"/>
      <c r="G4" s="12"/>
      <c r="H4" s="943"/>
      <c r="I4" s="943"/>
    </row>
    <row r="5" spans="1:2" ht="11.25" customHeight="1" thickBot="1">
      <c r="A5" s="9"/>
      <c r="B5" s="9"/>
    </row>
    <row r="6" spans="1:9" ht="18.75" customHeight="1">
      <c r="A6" s="916" t="s">
        <v>7</v>
      </c>
      <c r="B6" s="746"/>
      <c r="C6" s="919" t="s">
        <v>14</v>
      </c>
      <c r="D6" s="921"/>
      <c r="E6" s="919" t="s">
        <v>25</v>
      </c>
      <c r="F6" s="920"/>
      <c r="G6" s="921"/>
      <c r="H6" s="944" t="s">
        <v>26</v>
      </c>
      <c r="I6" s="945"/>
    </row>
    <row r="7" spans="1:9" ht="12.75" customHeight="1" thickBot="1">
      <c r="A7" s="917"/>
      <c r="B7" s="836"/>
      <c r="C7" s="922"/>
      <c r="D7" s="924"/>
      <c r="E7" s="922"/>
      <c r="F7" s="923"/>
      <c r="G7" s="924"/>
      <c r="H7" s="946"/>
      <c r="I7" s="947"/>
    </row>
    <row r="8" spans="1:9" ht="20.25" customHeight="1">
      <c r="A8" s="778" t="s">
        <v>18</v>
      </c>
      <c r="B8" s="828" t="s">
        <v>17</v>
      </c>
      <c r="C8" s="938"/>
      <c r="D8" s="939"/>
      <c r="E8" s="949">
        <v>2300</v>
      </c>
      <c r="F8" s="950"/>
      <c r="G8" s="950"/>
      <c r="H8" s="933">
        <f aca="true" t="shared" si="0" ref="H8:H15">(C8*E8)</f>
        <v>0</v>
      </c>
      <c r="I8" s="934"/>
    </row>
    <row r="9" spans="1:9" ht="20.25" customHeight="1">
      <c r="A9" s="377" t="s">
        <v>19</v>
      </c>
      <c r="B9" s="755" t="s">
        <v>17</v>
      </c>
      <c r="C9" s="914"/>
      <c r="D9" s="915"/>
      <c r="E9" s="940">
        <v>2300</v>
      </c>
      <c r="F9" s="941"/>
      <c r="G9" s="941"/>
      <c r="H9" s="935">
        <f t="shared" si="0"/>
        <v>0</v>
      </c>
      <c r="I9" s="936"/>
    </row>
    <row r="10" spans="1:9" ht="20.25" customHeight="1">
      <c r="A10" s="377" t="s">
        <v>21</v>
      </c>
      <c r="B10" s="755" t="s">
        <v>20</v>
      </c>
      <c r="C10" s="914"/>
      <c r="D10" s="915"/>
      <c r="E10" s="940">
        <v>2070</v>
      </c>
      <c r="F10" s="941"/>
      <c r="G10" s="941"/>
      <c r="H10" s="935">
        <f t="shared" si="0"/>
        <v>0</v>
      </c>
      <c r="I10" s="936"/>
    </row>
    <row r="11" spans="1:9" ht="20.25" customHeight="1">
      <c r="A11" s="377" t="s">
        <v>22</v>
      </c>
      <c r="B11" s="755" t="s">
        <v>20</v>
      </c>
      <c r="C11" s="914"/>
      <c r="D11" s="915"/>
      <c r="E11" s="940">
        <v>1380</v>
      </c>
      <c r="F11" s="941"/>
      <c r="G11" s="941"/>
      <c r="H11" s="935">
        <f t="shared" si="0"/>
        <v>0</v>
      </c>
      <c r="I11" s="936"/>
    </row>
    <row r="12" spans="1:9" ht="20.25" customHeight="1">
      <c r="A12" s="377" t="s">
        <v>403</v>
      </c>
      <c r="B12" s="755" t="s">
        <v>20</v>
      </c>
      <c r="C12" s="914"/>
      <c r="D12" s="915"/>
      <c r="E12" s="940">
        <v>2300</v>
      </c>
      <c r="F12" s="941"/>
      <c r="G12" s="941"/>
      <c r="H12" s="935">
        <f t="shared" si="0"/>
        <v>0</v>
      </c>
      <c r="I12" s="936"/>
    </row>
    <row r="13" spans="1:9" ht="20.25" customHeight="1">
      <c r="A13" s="377" t="s">
        <v>402</v>
      </c>
      <c r="B13" s="755" t="s">
        <v>20</v>
      </c>
      <c r="C13" s="914"/>
      <c r="D13" s="915"/>
      <c r="E13" s="940">
        <v>690</v>
      </c>
      <c r="F13" s="941"/>
      <c r="G13" s="941"/>
      <c r="H13" s="935">
        <f t="shared" si="0"/>
        <v>0</v>
      </c>
      <c r="I13" s="936"/>
    </row>
    <row r="14" spans="1:9" ht="20.25" customHeight="1">
      <c r="A14" s="377" t="s">
        <v>383</v>
      </c>
      <c r="B14" s="755" t="s">
        <v>20</v>
      </c>
      <c r="C14" s="914"/>
      <c r="D14" s="915"/>
      <c r="E14" s="926">
        <v>460</v>
      </c>
      <c r="F14" s="927"/>
      <c r="G14" s="927"/>
      <c r="H14" s="935">
        <f t="shared" si="0"/>
        <v>0</v>
      </c>
      <c r="I14" s="936"/>
    </row>
    <row r="15" spans="1:9" ht="20.25" customHeight="1" thickBot="1">
      <c r="A15" s="377" t="s">
        <v>491</v>
      </c>
      <c r="B15" s="755" t="s">
        <v>492</v>
      </c>
      <c r="C15" s="928"/>
      <c r="D15" s="929"/>
      <c r="E15" s="930"/>
      <c r="F15" s="931"/>
      <c r="G15" s="931"/>
      <c r="H15" s="942">
        <f t="shared" si="0"/>
        <v>0</v>
      </c>
      <c r="I15" s="936"/>
    </row>
    <row r="16" spans="1:9" ht="7.5" customHeight="1" thickBot="1">
      <c r="A16" s="709"/>
      <c r="B16" s="710"/>
      <c r="C16" s="12"/>
      <c r="D16" s="12"/>
      <c r="E16" s="12"/>
      <c r="F16" s="12"/>
      <c r="G16" s="12"/>
      <c r="H16" s="12"/>
      <c r="I16" s="235"/>
    </row>
    <row r="17" spans="1:9" s="1" customFormat="1" ht="20.25" customHeight="1" thickBot="1">
      <c r="A17" s="832" t="s">
        <v>11</v>
      </c>
      <c r="B17" s="833"/>
      <c r="C17" s="932">
        <f>SUM(C8:D15)</f>
        <v>0</v>
      </c>
      <c r="D17" s="932"/>
      <c r="E17" s="833"/>
      <c r="F17" s="833"/>
      <c r="G17" s="834"/>
      <c r="H17" s="902">
        <f>SUM(H8:I15)</f>
        <v>0</v>
      </c>
      <c r="I17" s="903"/>
    </row>
    <row r="18" spans="1:2" ht="14.25" customHeight="1" thickBot="1">
      <c r="A18" s="7"/>
      <c r="B18" s="7"/>
    </row>
    <row r="19" spans="1:9" ht="27" customHeight="1">
      <c r="A19" s="916" t="s">
        <v>12</v>
      </c>
      <c r="B19" s="817"/>
      <c r="C19" s="838" t="s">
        <v>8</v>
      </c>
      <c r="D19" s="919" t="s">
        <v>544</v>
      </c>
      <c r="E19" s="920"/>
      <c r="F19" s="920"/>
      <c r="G19" s="921"/>
      <c r="H19" s="887" t="s">
        <v>527</v>
      </c>
      <c r="I19" s="887" t="s">
        <v>528</v>
      </c>
    </row>
    <row r="20" spans="1:9" ht="15" customHeight="1" thickBot="1">
      <c r="A20" s="948"/>
      <c r="B20" s="837"/>
      <c r="C20" s="839" t="s">
        <v>9</v>
      </c>
      <c r="D20" s="922"/>
      <c r="E20" s="923"/>
      <c r="F20" s="923"/>
      <c r="G20" s="924"/>
      <c r="H20" s="888"/>
      <c r="I20" s="888"/>
    </row>
    <row r="21" spans="1:9" ht="23.25" customHeight="1">
      <c r="A21" s="697" t="s">
        <v>289</v>
      </c>
      <c r="B21" s="828" t="s">
        <v>23</v>
      </c>
      <c r="C21" s="829"/>
      <c r="D21" s="895">
        <v>400</v>
      </c>
      <c r="E21" s="896"/>
      <c r="F21" s="896"/>
      <c r="G21" s="896"/>
      <c r="H21" s="877">
        <v>2160</v>
      </c>
      <c r="I21" s="841">
        <f>C21*H21</f>
        <v>0</v>
      </c>
    </row>
    <row r="22" spans="1:12" ht="22.5" customHeight="1">
      <c r="A22" s="377" t="s">
        <v>529</v>
      </c>
      <c r="B22" s="755" t="s">
        <v>23</v>
      </c>
      <c r="C22" s="830"/>
      <c r="D22" s="897">
        <v>220</v>
      </c>
      <c r="E22" s="898"/>
      <c r="F22" s="898"/>
      <c r="G22" s="898"/>
      <c r="H22" s="878">
        <v>1385</v>
      </c>
      <c r="I22" s="842">
        <f>C22*H22</f>
        <v>0</v>
      </c>
      <c r="J22" s="13"/>
      <c r="K22" s="13"/>
      <c r="L22" s="13"/>
    </row>
    <row r="23" spans="1:12" ht="23.25" customHeight="1" thickBot="1">
      <c r="A23" s="377" t="s">
        <v>290</v>
      </c>
      <c r="B23" s="755" t="s">
        <v>23</v>
      </c>
      <c r="C23" s="831"/>
      <c r="D23" s="897">
        <v>100</v>
      </c>
      <c r="E23" s="898"/>
      <c r="F23" s="898"/>
      <c r="G23" s="898"/>
      <c r="H23" s="878">
        <v>720</v>
      </c>
      <c r="I23" s="842">
        <f>C23*H23</f>
        <v>0</v>
      </c>
      <c r="J23" s="13"/>
      <c r="K23" s="13"/>
      <c r="L23" s="13"/>
    </row>
    <row r="24" spans="1:9" ht="7.5" customHeight="1" thickBot="1">
      <c r="A24" s="749"/>
      <c r="B24" s="750"/>
      <c r="C24" s="751"/>
      <c r="D24" s="751"/>
      <c r="E24" s="751"/>
      <c r="F24" s="751"/>
      <c r="G24" s="751"/>
      <c r="H24" s="751"/>
      <c r="I24" s="752"/>
    </row>
    <row r="25" spans="1:9" ht="18" customHeight="1" thickBot="1">
      <c r="A25" s="906" t="s">
        <v>13</v>
      </c>
      <c r="B25" s="907"/>
      <c r="C25" s="753">
        <f>SUM(C21:C23)</f>
        <v>0</v>
      </c>
      <c r="D25" s="908"/>
      <c r="E25" s="909"/>
      <c r="F25" s="909"/>
      <c r="G25" s="910"/>
      <c r="H25" s="904">
        <f>SUM(I21:I23)</f>
        <v>0</v>
      </c>
      <c r="I25" s="905"/>
    </row>
    <row r="26" spans="1:11" ht="15" customHeight="1" thickBot="1">
      <c r="A26" s="7"/>
      <c r="B26" s="7"/>
      <c r="K26" s="8"/>
    </row>
    <row r="27" spans="1:9" ht="25.5" customHeight="1">
      <c r="A27" s="916" t="s">
        <v>422</v>
      </c>
      <c r="B27" s="747"/>
      <c r="C27" s="838" t="s">
        <v>8</v>
      </c>
      <c r="D27" s="919" t="s">
        <v>544</v>
      </c>
      <c r="E27" s="920"/>
      <c r="F27" s="920"/>
      <c r="G27" s="921"/>
      <c r="H27" s="887" t="s">
        <v>527</v>
      </c>
      <c r="I27" s="887" t="s">
        <v>528</v>
      </c>
    </row>
    <row r="28" spans="1:9" ht="17.25" customHeight="1" thickBot="1">
      <c r="A28" s="948"/>
      <c r="B28" s="170"/>
      <c r="C28" s="839" t="s">
        <v>9</v>
      </c>
      <c r="D28" s="922"/>
      <c r="E28" s="923"/>
      <c r="F28" s="923"/>
      <c r="G28" s="924"/>
      <c r="H28" s="888"/>
      <c r="I28" s="888"/>
    </row>
    <row r="29" spans="1:9" ht="20.25" customHeight="1">
      <c r="A29" s="697" t="s">
        <v>27</v>
      </c>
      <c r="B29" s="754" t="s">
        <v>23</v>
      </c>
      <c r="C29" s="756"/>
      <c r="D29" s="899"/>
      <c r="E29" s="900"/>
      <c r="F29" s="900"/>
      <c r="G29" s="901"/>
      <c r="H29" s="835">
        <f>IF(C29=FALSE,0,LOOKUP(D29,Richtpreise!B$3:$B$22,Richtpreise!$C$3:$C22))</f>
        <v>0</v>
      </c>
      <c r="I29" s="840">
        <f>C29*H29</f>
        <v>0</v>
      </c>
    </row>
    <row r="30" spans="1:9" ht="20.25" customHeight="1">
      <c r="A30" s="377" t="s">
        <v>27</v>
      </c>
      <c r="B30" s="755" t="s">
        <v>23</v>
      </c>
      <c r="C30" s="757"/>
      <c r="D30" s="889"/>
      <c r="E30" s="890"/>
      <c r="F30" s="890"/>
      <c r="G30" s="891"/>
      <c r="H30" s="816">
        <f>IF(C30=FALSE,0,LOOKUP(D30,Richtpreise!B$3:$B$22,Richtpreise!$C$3:$C23))</f>
        <v>0</v>
      </c>
      <c r="I30" s="748">
        <f aca="true" t="shared" si="1" ref="I30:I35">C30*H30</f>
        <v>0</v>
      </c>
    </row>
    <row r="31" spans="1:9" ht="20.25" customHeight="1">
      <c r="A31" s="377" t="s">
        <v>27</v>
      </c>
      <c r="B31" s="755" t="s">
        <v>23</v>
      </c>
      <c r="C31" s="757"/>
      <c r="D31" s="889"/>
      <c r="E31" s="890"/>
      <c r="F31" s="890"/>
      <c r="G31" s="891"/>
      <c r="H31" s="816">
        <f>IF(C31=FALSE,0,LOOKUP(D31,Richtpreise!B$3:$B$22,Richtpreise!$C$3:$C24))</f>
        <v>0</v>
      </c>
      <c r="I31" s="748">
        <f t="shared" si="1"/>
        <v>0</v>
      </c>
    </row>
    <row r="32" spans="1:9" ht="20.25" customHeight="1">
      <c r="A32" s="377" t="s">
        <v>27</v>
      </c>
      <c r="B32" s="755" t="s">
        <v>23</v>
      </c>
      <c r="C32" s="757"/>
      <c r="D32" s="889"/>
      <c r="E32" s="890"/>
      <c r="F32" s="890"/>
      <c r="G32" s="891"/>
      <c r="H32" s="816">
        <f>IF(C32=FALSE,0,LOOKUP(D32,Richtpreise!B$3:$B$22,Richtpreise!$C$3:$C25))</f>
        <v>0</v>
      </c>
      <c r="I32" s="748">
        <f t="shared" si="1"/>
        <v>0</v>
      </c>
    </row>
    <row r="33" spans="1:9" ht="20.25" customHeight="1">
      <c r="A33" s="377" t="s">
        <v>423</v>
      </c>
      <c r="B33" s="755" t="s">
        <v>23</v>
      </c>
      <c r="C33" s="757"/>
      <c r="D33" s="889"/>
      <c r="E33" s="890"/>
      <c r="F33" s="890"/>
      <c r="G33" s="891"/>
      <c r="H33" s="816">
        <f>IF(C33=FALSE,0,LOOKUP(D33,Richtpreise!B$3:$B$22,Richtpreise!$C$3:$C26))</f>
        <v>0</v>
      </c>
      <c r="I33" s="748">
        <f t="shared" si="1"/>
        <v>0</v>
      </c>
    </row>
    <row r="34" spans="1:9" ht="20.25" customHeight="1">
      <c r="A34" s="377" t="s">
        <v>423</v>
      </c>
      <c r="B34" s="755" t="s">
        <v>23</v>
      </c>
      <c r="C34" s="757"/>
      <c r="D34" s="889"/>
      <c r="E34" s="890"/>
      <c r="F34" s="890"/>
      <c r="G34" s="891"/>
      <c r="H34" s="816">
        <f>IF(C34=FALSE,0,LOOKUP(D34,Richtpreise!B$3:$B$22,Richtpreise!$C$3:$C27))</f>
        <v>0</v>
      </c>
      <c r="I34" s="748">
        <f t="shared" si="1"/>
        <v>0</v>
      </c>
    </row>
    <row r="35" spans="1:9" ht="20.25" customHeight="1" thickBot="1">
      <c r="A35" s="700" t="s">
        <v>423</v>
      </c>
      <c r="B35" s="781" t="s">
        <v>23</v>
      </c>
      <c r="C35" s="758"/>
      <c r="D35" s="892"/>
      <c r="E35" s="893"/>
      <c r="F35" s="893"/>
      <c r="G35" s="894"/>
      <c r="H35" s="816">
        <f>IF(C35=FALSE,0,LOOKUP(D35,Richtpreise!B$3:$B$22,Richtpreise!$C$3:$C28))</f>
        <v>0</v>
      </c>
      <c r="I35" s="748">
        <f t="shared" si="1"/>
        <v>0</v>
      </c>
    </row>
    <row r="36" spans="1:9" ht="7.5" customHeight="1" thickBot="1">
      <c r="A36" s="749"/>
      <c r="B36" s="750"/>
      <c r="C36" s="751"/>
      <c r="D36" s="751"/>
      <c r="E36" s="751"/>
      <c r="F36" s="751"/>
      <c r="G36" s="751"/>
      <c r="H36" s="751"/>
      <c r="I36" s="752"/>
    </row>
    <row r="37" spans="1:9" s="31" customFormat="1" ht="17.25" customHeight="1" thickBot="1">
      <c r="A37" s="906" t="s">
        <v>15</v>
      </c>
      <c r="B37" s="907"/>
      <c r="C37" s="753">
        <f>SUM(C29+C30+C31+C32+C33+C34+C35)</f>
        <v>0</v>
      </c>
      <c r="D37" s="911"/>
      <c r="E37" s="912"/>
      <c r="F37" s="912"/>
      <c r="G37" s="913"/>
      <c r="H37" s="902">
        <f>SUM(I29:I35)</f>
        <v>0</v>
      </c>
      <c r="I37" s="903"/>
    </row>
    <row r="38" spans="1:2" ht="8.25" customHeight="1">
      <c r="A38" s="11"/>
      <c r="B38" s="11"/>
    </row>
    <row r="39" spans="1:5" ht="16.5" thickBot="1">
      <c r="A39" s="745" t="s">
        <v>490</v>
      </c>
      <c r="B39" s="36" t="s">
        <v>376</v>
      </c>
      <c r="C39" s="36" t="s">
        <v>9</v>
      </c>
      <c r="D39" s="1"/>
      <c r="E39" s="1"/>
    </row>
    <row r="40" spans="1:5" ht="21" customHeight="1" thickBot="1">
      <c r="A40" s="154" t="s">
        <v>379</v>
      </c>
      <c r="B40" s="153"/>
      <c r="C40" s="153"/>
      <c r="D40" s="151"/>
      <c r="E40" s="151"/>
    </row>
    <row r="41" spans="1:7" ht="21" customHeight="1" thickBot="1">
      <c r="A41" s="154" t="s">
        <v>377</v>
      </c>
      <c r="B41" s="153"/>
      <c r="C41" s="153"/>
      <c r="D41" s="152"/>
      <c r="E41" s="152"/>
      <c r="F41" s="146"/>
      <c r="G41" s="146"/>
    </row>
    <row r="42" spans="1:7" ht="21" customHeight="1" thickBot="1">
      <c r="A42" s="154" t="s">
        <v>12</v>
      </c>
      <c r="B42" s="153"/>
      <c r="C42" s="153"/>
      <c r="D42" s="150"/>
      <c r="F42" s="143"/>
      <c r="G42" s="143"/>
    </row>
    <row r="43" spans="1:5" ht="21" customHeight="1" thickBot="1">
      <c r="A43" s="154" t="s">
        <v>424</v>
      </c>
      <c r="B43" s="158"/>
      <c r="C43" s="158"/>
      <c r="D43" s="150"/>
      <c r="E43" s="161" t="s">
        <v>378</v>
      </c>
    </row>
    <row r="44" spans="1:8" ht="22.5" customHeight="1" thickBot="1" thickTop="1">
      <c r="A44" s="157" t="s">
        <v>381</v>
      </c>
      <c r="B44" s="159"/>
      <c r="C44" s="160"/>
      <c r="D44" s="145"/>
      <c r="E44" s="162"/>
      <c r="F44" s="143"/>
      <c r="G44" s="156" t="s">
        <v>380</v>
      </c>
      <c r="H44" s="148"/>
    </row>
    <row r="45" spans="3:8" ht="13.5" thickTop="1">
      <c r="C45" s="925"/>
      <c r="D45" s="925"/>
      <c r="E45" s="925"/>
      <c r="F45" s="147"/>
      <c r="G45" s="155"/>
      <c r="H45" s="149"/>
    </row>
    <row r="46" ht="12.75">
      <c r="H46" s="143"/>
    </row>
  </sheetData>
  <sheetProtection sheet="1"/>
  <protectedRanges>
    <protectedRange sqref="C8:D14" name="Bereich1"/>
    <protectedRange sqref="C21:C23" name="Bereich2"/>
  </protectedRanges>
  <mergeCells count="58">
    <mergeCell ref="H3:I4"/>
    <mergeCell ref="I27:I28"/>
    <mergeCell ref="D27:G28"/>
    <mergeCell ref="H27:H28"/>
    <mergeCell ref="H6:I7"/>
    <mergeCell ref="A19:A20"/>
    <mergeCell ref="A27:A28"/>
    <mergeCell ref="E8:G8"/>
    <mergeCell ref="E9:G9"/>
    <mergeCell ref="E10:G10"/>
    <mergeCell ref="E11:G11"/>
    <mergeCell ref="E12:G12"/>
    <mergeCell ref="E13:G13"/>
    <mergeCell ref="D19:G20"/>
    <mergeCell ref="C12:D12"/>
    <mergeCell ref="H11:I11"/>
    <mergeCell ref="H12:I12"/>
    <mergeCell ref="H13:I13"/>
    <mergeCell ref="H15:I15"/>
    <mergeCell ref="H17:I17"/>
    <mergeCell ref="H8:I8"/>
    <mergeCell ref="H9:I9"/>
    <mergeCell ref="H10:I10"/>
    <mergeCell ref="H14:I14"/>
    <mergeCell ref="A1:C1"/>
    <mergeCell ref="C14:D14"/>
    <mergeCell ref="C10:D10"/>
    <mergeCell ref="C11:D11"/>
    <mergeCell ref="C6:D7"/>
    <mergeCell ref="C8:D8"/>
    <mergeCell ref="C9:D9"/>
    <mergeCell ref="A6:A7"/>
    <mergeCell ref="A3:A4"/>
    <mergeCell ref="E6:G7"/>
    <mergeCell ref="C45:E45"/>
    <mergeCell ref="C13:D13"/>
    <mergeCell ref="E14:G14"/>
    <mergeCell ref="C15:D15"/>
    <mergeCell ref="E15:G15"/>
    <mergeCell ref="C17:D17"/>
    <mergeCell ref="H37:I37"/>
    <mergeCell ref="H25:I25"/>
    <mergeCell ref="A37:B37"/>
    <mergeCell ref="A25:B25"/>
    <mergeCell ref="D25:G25"/>
    <mergeCell ref="D37:G37"/>
    <mergeCell ref="D32:G32"/>
    <mergeCell ref="D33:G33"/>
    <mergeCell ref="H19:H20"/>
    <mergeCell ref="I19:I20"/>
    <mergeCell ref="D34:G34"/>
    <mergeCell ref="D35:G35"/>
    <mergeCell ref="D21:G21"/>
    <mergeCell ref="D22:G22"/>
    <mergeCell ref="D23:G23"/>
    <mergeCell ref="D29:G29"/>
    <mergeCell ref="D30:G30"/>
    <mergeCell ref="D31:G31"/>
  </mergeCells>
  <printOptions/>
  <pageMargins left="0.35433070866141736" right="0.2362204724409449" top="0.3937007874015748" bottom="0.11811023622047245" header="0.3937007874015748" footer="0.31496062992125984"/>
  <pageSetup blackAndWhite="1" horizontalDpi="600" verticalDpi="600" orientation="portrait" paperSize="9" r:id="rId2"/>
  <headerFooter alignWithMargins="0">
    <oddFooter>&amp;L&amp;8(C) Lerch Treuhand AG, Itingen</oddFooter>
  </headerFooter>
  <drawing r:id="rId1"/>
</worksheet>
</file>

<file path=xl/worksheets/sheet5.xml><?xml version="1.0" encoding="utf-8"?>
<worksheet xmlns="http://schemas.openxmlformats.org/spreadsheetml/2006/main" xmlns:r="http://schemas.openxmlformats.org/officeDocument/2006/relationships">
  <sheetPr codeName="Tabelle17">
    <tabColor indexed="8"/>
    <pageSetUpPr fitToPage="1"/>
  </sheetPr>
  <dimension ref="B1:I88"/>
  <sheetViews>
    <sheetView showGridLines="0" zoomScale="150" zoomScaleNormal="150" zoomScalePageLayoutView="0" workbookViewId="0" topLeftCell="A1">
      <selection activeCell="F4" sqref="F4"/>
    </sheetView>
  </sheetViews>
  <sheetFormatPr defaultColWidth="11.421875" defaultRowHeight="12.75"/>
  <cols>
    <col min="1" max="1" width="3.00390625" style="29" customWidth="1"/>
    <col min="2" max="2" width="4.7109375" style="867" customWidth="1"/>
    <col min="3" max="3" width="6.7109375" style="867" customWidth="1"/>
    <col min="4" max="4" width="11.421875" style="29" customWidth="1"/>
    <col min="5" max="5" width="4.7109375" style="29" customWidth="1"/>
    <col min="6" max="6" width="9.00390625" style="29" customWidth="1"/>
    <col min="7" max="16384" width="11.421875" style="29" customWidth="1"/>
  </cols>
  <sheetData>
    <row r="1" spans="2:5" s="32" customFormat="1" ht="12" customHeight="1">
      <c r="B1" s="32" t="s">
        <v>516</v>
      </c>
      <c r="E1" s="32" t="s">
        <v>12</v>
      </c>
    </row>
    <row r="2" spans="2:6" ht="12" customHeight="1">
      <c r="B2" s="853" t="s">
        <v>24</v>
      </c>
      <c r="C2" s="854" t="s">
        <v>530</v>
      </c>
      <c r="E2" s="853" t="s">
        <v>24</v>
      </c>
      <c r="F2" s="854" t="s">
        <v>530</v>
      </c>
    </row>
    <row r="3" spans="2:6" ht="12" customHeight="1">
      <c r="B3" s="855">
        <v>30</v>
      </c>
      <c r="C3" s="852">
        <v>120</v>
      </c>
      <c r="E3" s="855">
        <v>30</v>
      </c>
      <c r="F3" s="852">
        <v>300</v>
      </c>
    </row>
    <row r="4" spans="2:6" ht="12" customHeight="1">
      <c r="B4" s="855">
        <v>40</v>
      </c>
      <c r="C4" s="852">
        <v>140</v>
      </c>
      <c r="E4" s="855">
        <v>40</v>
      </c>
      <c r="F4" s="852">
        <v>305</v>
      </c>
    </row>
    <row r="5" spans="2:6" ht="12" customHeight="1">
      <c r="B5" s="856">
        <v>50</v>
      </c>
      <c r="C5" s="852">
        <v>190</v>
      </c>
      <c r="E5" s="856">
        <v>50</v>
      </c>
      <c r="F5" s="852">
        <v>380</v>
      </c>
    </row>
    <row r="6" spans="2:6" ht="12" customHeight="1">
      <c r="B6" s="856">
        <v>60</v>
      </c>
      <c r="C6" s="852">
        <v>240</v>
      </c>
      <c r="E6" s="856">
        <v>60</v>
      </c>
      <c r="F6" s="852">
        <v>450</v>
      </c>
    </row>
    <row r="7" spans="2:6" ht="12" customHeight="1">
      <c r="B7" s="856">
        <v>70</v>
      </c>
      <c r="C7" s="852">
        <v>305</v>
      </c>
      <c r="E7" s="856">
        <v>70</v>
      </c>
      <c r="F7" s="852">
        <v>520</v>
      </c>
    </row>
    <row r="8" spans="2:9" ht="12" customHeight="1">
      <c r="B8" s="856">
        <v>80</v>
      </c>
      <c r="C8" s="852">
        <v>365</v>
      </c>
      <c r="E8" s="856">
        <v>80</v>
      </c>
      <c r="F8" s="852">
        <v>590</v>
      </c>
      <c r="I8" s="857"/>
    </row>
    <row r="9" spans="2:6" ht="12" customHeight="1">
      <c r="B9" s="856">
        <v>90</v>
      </c>
      <c r="C9" s="852">
        <v>440</v>
      </c>
      <c r="E9" s="856">
        <v>90</v>
      </c>
      <c r="F9" s="852">
        <v>655</v>
      </c>
    </row>
    <row r="10" spans="2:6" ht="12" customHeight="1">
      <c r="B10" s="856">
        <v>100</v>
      </c>
      <c r="C10" s="852">
        <v>510</v>
      </c>
      <c r="E10" s="856">
        <v>100</v>
      </c>
      <c r="F10" s="852">
        <v>720</v>
      </c>
    </row>
    <row r="11" spans="2:6" ht="12" customHeight="1">
      <c r="B11" s="856">
        <v>110</v>
      </c>
      <c r="C11" s="852">
        <v>595</v>
      </c>
      <c r="E11" s="856">
        <v>110</v>
      </c>
      <c r="F11" s="852">
        <v>780</v>
      </c>
    </row>
    <row r="12" spans="2:6" ht="12" customHeight="1">
      <c r="B12" s="856">
        <v>120</v>
      </c>
      <c r="C12" s="852">
        <v>680</v>
      </c>
      <c r="E12" s="856">
        <v>120</v>
      </c>
      <c r="F12" s="852">
        <v>845</v>
      </c>
    </row>
    <row r="13" spans="2:6" ht="12" customHeight="1">
      <c r="B13" s="856">
        <v>130</v>
      </c>
      <c r="C13" s="852">
        <v>775</v>
      </c>
      <c r="E13" s="856">
        <v>130</v>
      </c>
      <c r="F13" s="852">
        <v>910</v>
      </c>
    </row>
    <row r="14" spans="2:6" ht="12" customHeight="1">
      <c r="B14" s="856">
        <v>140</v>
      </c>
      <c r="C14" s="852">
        <v>870</v>
      </c>
      <c r="E14" s="856">
        <v>140</v>
      </c>
      <c r="F14" s="852">
        <v>965</v>
      </c>
    </row>
    <row r="15" spans="2:6" ht="12" customHeight="1">
      <c r="B15" s="856">
        <v>150</v>
      </c>
      <c r="C15" s="852">
        <v>975</v>
      </c>
      <c r="E15" s="856">
        <v>150</v>
      </c>
      <c r="F15" s="852">
        <v>1020</v>
      </c>
    </row>
    <row r="16" spans="2:6" ht="12" customHeight="1">
      <c r="B16" s="856">
        <v>160</v>
      </c>
      <c r="C16" s="852">
        <v>1080</v>
      </c>
      <c r="E16" s="856">
        <v>160</v>
      </c>
      <c r="F16" s="852">
        <v>1080</v>
      </c>
    </row>
    <row r="17" spans="2:6" ht="12" customHeight="1">
      <c r="B17" s="856">
        <v>170</v>
      </c>
      <c r="C17" s="852">
        <v>1200</v>
      </c>
      <c r="E17" s="856">
        <v>170</v>
      </c>
      <c r="F17" s="852">
        <v>1140</v>
      </c>
    </row>
    <row r="18" spans="2:6" ht="12" customHeight="1">
      <c r="B18" s="856">
        <v>180</v>
      </c>
      <c r="C18" s="852">
        <v>1315</v>
      </c>
      <c r="E18" s="856">
        <v>180</v>
      </c>
      <c r="F18" s="852">
        <v>1190</v>
      </c>
    </row>
    <row r="19" spans="2:6" ht="12" customHeight="1">
      <c r="B19" s="856">
        <v>190</v>
      </c>
      <c r="C19" s="852">
        <v>1445</v>
      </c>
      <c r="E19" s="856">
        <v>190</v>
      </c>
      <c r="F19" s="852">
        <v>1245</v>
      </c>
    </row>
    <row r="20" spans="2:6" ht="12" customHeight="1">
      <c r="B20" s="856">
        <v>200</v>
      </c>
      <c r="C20" s="852">
        <v>1570</v>
      </c>
      <c r="E20" s="856">
        <v>200</v>
      </c>
      <c r="F20" s="852">
        <v>1290</v>
      </c>
    </row>
    <row r="21" spans="2:6" ht="12" customHeight="1">
      <c r="B21" s="856">
        <v>210</v>
      </c>
      <c r="C21" s="852">
        <v>1710</v>
      </c>
      <c r="E21" s="856">
        <v>210</v>
      </c>
      <c r="F21" s="852">
        <v>1335</v>
      </c>
    </row>
    <row r="22" spans="2:6" ht="12" customHeight="1">
      <c r="B22" s="858">
        <v>220</v>
      </c>
      <c r="C22" s="852">
        <v>1850</v>
      </c>
      <c r="D22" s="859"/>
      <c r="E22" s="858">
        <v>220</v>
      </c>
      <c r="F22" s="852">
        <v>1385</v>
      </c>
    </row>
    <row r="23" spans="2:6" ht="12" customHeight="1">
      <c r="B23" s="860"/>
      <c r="C23" s="861"/>
      <c r="D23" s="859"/>
      <c r="E23" s="858">
        <v>230</v>
      </c>
      <c r="F23" s="852">
        <v>1440</v>
      </c>
    </row>
    <row r="24" spans="2:6" ht="12" customHeight="1">
      <c r="B24" s="862"/>
      <c r="C24" s="861"/>
      <c r="E24" s="856">
        <v>240</v>
      </c>
      <c r="F24" s="852">
        <v>1490</v>
      </c>
    </row>
    <row r="25" spans="2:6" ht="12" customHeight="1">
      <c r="B25" s="862"/>
      <c r="C25" s="861"/>
      <c r="E25" s="856">
        <v>250</v>
      </c>
      <c r="F25" s="852">
        <v>1540</v>
      </c>
    </row>
    <row r="26" spans="2:6" ht="12" customHeight="1">
      <c r="B26" s="862"/>
      <c r="C26" s="861"/>
      <c r="E26" s="856">
        <v>260</v>
      </c>
      <c r="F26" s="852">
        <v>1585</v>
      </c>
    </row>
    <row r="27" spans="2:6" ht="12" customHeight="1">
      <c r="B27" s="862"/>
      <c r="C27" s="861"/>
      <c r="E27" s="856">
        <v>270</v>
      </c>
      <c r="F27" s="852">
        <v>1635</v>
      </c>
    </row>
    <row r="28" spans="2:6" ht="12" customHeight="1">
      <c r="B28" s="862"/>
      <c r="C28" s="861"/>
      <c r="E28" s="856">
        <v>280</v>
      </c>
      <c r="F28" s="852">
        <v>1680</v>
      </c>
    </row>
    <row r="29" spans="2:6" ht="12" customHeight="1">
      <c r="B29" s="862"/>
      <c r="C29" s="861"/>
      <c r="E29" s="856">
        <v>290</v>
      </c>
      <c r="F29" s="852">
        <v>1725</v>
      </c>
    </row>
    <row r="30" spans="2:6" ht="12" customHeight="1">
      <c r="B30" s="862"/>
      <c r="C30" s="861"/>
      <c r="E30" s="856">
        <v>300</v>
      </c>
      <c r="F30" s="852">
        <v>1770</v>
      </c>
    </row>
    <row r="31" spans="2:6" ht="12" customHeight="1">
      <c r="B31" s="862"/>
      <c r="C31" s="861"/>
      <c r="E31" s="856">
        <v>310</v>
      </c>
      <c r="F31" s="852">
        <v>1815</v>
      </c>
    </row>
    <row r="32" spans="2:6" ht="12" customHeight="1">
      <c r="B32" s="862"/>
      <c r="C32" s="861"/>
      <c r="E32" s="856">
        <v>320</v>
      </c>
      <c r="F32" s="852">
        <v>1855</v>
      </c>
    </row>
    <row r="33" spans="2:6" ht="12" customHeight="1">
      <c r="B33" s="862"/>
      <c r="C33" s="861"/>
      <c r="E33" s="856">
        <v>330</v>
      </c>
      <c r="F33" s="852">
        <v>1900</v>
      </c>
    </row>
    <row r="34" spans="2:6" ht="12" customHeight="1">
      <c r="B34" s="862"/>
      <c r="C34" s="861"/>
      <c r="E34" s="856">
        <v>340</v>
      </c>
      <c r="F34" s="852">
        <v>1940</v>
      </c>
    </row>
    <row r="35" spans="2:6" ht="12" customHeight="1">
      <c r="B35" s="862"/>
      <c r="C35" s="861"/>
      <c r="E35" s="856">
        <v>350</v>
      </c>
      <c r="F35" s="852">
        <v>1980</v>
      </c>
    </row>
    <row r="36" spans="2:6" ht="12" customHeight="1">
      <c r="B36" s="862"/>
      <c r="C36" s="861"/>
      <c r="E36" s="856">
        <v>360</v>
      </c>
      <c r="F36" s="852">
        <v>2015</v>
      </c>
    </row>
    <row r="37" spans="2:6" ht="12" customHeight="1">
      <c r="B37" s="862"/>
      <c r="C37" s="861"/>
      <c r="E37" s="856">
        <v>370</v>
      </c>
      <c r="F37" s="852">
        <v>2055</v>
      </c>
    </row>
    <row r="38" spans="2:6" ht="12" customHeight="1">
      <c r="B38" s="862"/>
      <c r="C38" s="861"/>
      <c r="E38" s="856">
        <v>380</v>
      </c>
      <c r="F38" s="852">
        <v>2090</v>
      </c>
    </row>
    <row r="39" spans="2:6" ht="12" customHeight="1">
      <c r="B39" s="862"/>
      <c r="C39" s="861"/>
      <c r="E39" s="856">
        <v>390</v>
      </c>
      <c r="F39" s="852">
        <v>2125</v>
      </c>
    </row>
    <row r="40" spans="2:6" ht="12" customHeight="1">
      <c r="B40" s="862"/>
      <c r="C40" s="861"/>
      <c r="E40" s="856">
        <v>400</v>
      </c>
      <c r="F40" s="852">
        <v>2160</v>
      </c>
    </row>
    <row r="41" spans="2:6" ht="12" customHeight="1">
      <c r="B41" s="862"/>
      <c r="C41" s="861"/>
      <c r="E41" s="856">
        <v>410</v>
      </c>
      <c r="F41" s="852">
        <v>2195</v>
      </c>
    </row>
    <row r="42" spans="2:6" ht="12" customHeight="1">
      <c r="B42" s="862"/>
      <c r="C42" s="861"/>
      <c r="E42" s="856">
        <v>420</v>
      </c>
      <c r="F42" s="852">
        <v>2225</v>
      </c>
    </row>
    <row r="43" spans="2:6" ht="12" customHeight="1">
      <c r="B43" s="862"/>
      <c r="C43" s="861"/>
      <c r="E43" s="856">
        <v>430</v>
      </c>
      <c r="F43" s="852">
        <v>2260</v>
      </c>
    </row>
    <row r="44" spans="2:6" ht="12" customHeight="1">
      <c r="B44" s="862"/>
      <c r="C44" s="861"/>
      <c r="E44" s="856">
        <v>440</v>
      </c>
      <c r="F44" s="852">
        <v>2290</v>
      </c>
    </row>
    <row r="45" spans="2:6" ht="12" customHeight="1">
      <c r="B45" s="862"/>
      <c r="C45" s="861"/>
      <c r="E45" s="856">
        <v>450</v>
      </c>
      <c r="F45" s="852">
        <v>2315</v>
      </c>
    </row>
    <row r="46" spans="2:6" ht="12" customHeight="1">
      <c r="B46" s="862"/>
      <c r="C46" s="861"/>
      <c r="E46" s="856">
        <v>460</v>
      </c>
      <c r="F46" s="852">
        <v>2345</v>
      </c>
    </row>
    <row r="47" spans="2:6" ht="12" customHeight="1">
      <c r="B47" s="862"/>
      <c r="C47" s="861"/>
      <c r="E47" s="856">
        <v>470</v>
      </c>
      <c r="F47" s="852">
        <v>2375</v>
      </c>
    </row>
    <row r="48" spans="2:6" ht="12" customHeight="1">
      <c r="B48" s="862"/>
      <c r="C48" s="861"/>
      <c r="E48" s="856">
        <v>480</v>
      </c>
      <c r="F48" s="852">
        <v>2400</v>
      </c>
    </row>
    <row r="49" spans="2:6" ht="12" customHeight="1">
      <c r="B49" s="862"/>
      <c r="C49" s="861"/>
      <c r="E49" s="856">
        <v>490</v>
      </c>
      <c r="F49" s="852">
        <v>2425</v>
      </c>
    </row>
    <row r="50" spans="2:6" ht="12" customHeight="1">
      <c r="B50" s="862"/>
      <c r="C50" s="861"/>
      <c r="E50" s="856">
        <v>500</v>
      </c>
      <c r="F50" s="852">
        <v>2450</v>
      </c>
    </row>
    <row r="51" spans="2:6" ht="12" customHeight="1">
      <c r="B51" s="862"/>
      <c r="C51" s="861"/>
      <c r="E51" s="856">
        <v>510</v>
      </c>
      <c r="F51" s="852">
        <v>2475</v>
      </c>
    </row>
    <row r="52" spans="2:6" ht="12" customHeight="1">
      <c r="B52" s="862"/>
      <c r="C52" s="861"/>
      <c r="E52" s="856">
        <v>520</v>
      </c>
      <c r="F52" s="852">
        <v>2495</v>
      </c>
    </row>
    <row r="53" spans="2:6" ht="12" customHeight="1">
      <c r="B53" s="862"/>
      <c r="C53" s="861"/>
      <c r="E53" s="856">
        <v>530</v>
      </c>
      <c r="F53" s="852">
        <v>2520</v>
      </c>
    </row>
    <row r="54" spans="2:6" ht="12" customHeight="1">
      <c r="B54" s="862"/>
      <c r="C54" s="861"/>
      <c r="E54" s="856">
        <v>540</v>
      </c>
      <c r="F54" s="852">
        <v>2540</v>
      </c>
    </row>
    <row r="55" spans="2:6" ht="12" customHeight="1">
      <c r="B55" s="862"/>
      <c r="C55" s="861"/>
      <c r="E55" s="856">
        <v>550</v>
      </c>
      <c r="F55" s="852">
        <v>2560</v>
      </c>
    </row>
    <row r="56" spans="2:8" ht="12" customHeight="1">
      <c r="B56" s="862"/>
      <c r="C56" s="861"/>
      <c r="E56" s="856">
        <v>560</v>
      </c>
      <c r="F56" s="852">
        <v>2575</v>
      </c>
      <c r="H56" s="863"/>
    </row>
    <row r="57" spans="2:6" ht="12" customHeight="1">
      <c r="B57" s="862"/>
      <c r="C57" s="861"/>
      <c r="E57" s="856">
        <v>570</v>
      </c>
      <c r="F57" s="852">
        <v>2595</v>
      </c>
    </row>
    <row r="58" spans="2:6" ht="12" customHeight="1">
      <c r="B58" s="862"/>
      <c r="C58" s="861"/>
      <c r="E58" s="856">
        <v>580</v>
      </c>
      <c r="F58" s="852">
        <v>2610</v>
      </c>
    </row>
    <row r="59" spans="2:6" ht="12" customHeight="1">
      <c r="B59" s="862"/>
      <c r="C59" s="861"/>
      <c r="E59" s="856">
        <v>590</v>
      </c>
      <c r="F59" s="852">
        <v>2625</v>
      </c>
    </row>
    <row r="60" spans="2:6" ht="12" customHeight="1">
      <c r="B60" s="862"/>
      <c r="C60" s="861"/>
      <c r="E60" s="856">
        <v>600</v>
      </c>
      <c r="F60" s="852">
        <v>2640</v>
      </c>
    </row>
    <row r="61" spans="2:7" ht="12" customHeight="1">
      <c r="B61" s="862"/>
      <c r="C61" s="861"/>
      <c r="E61" s="864"/>
      <c r="F61" s="865">
        <f>SUM(F3:F60)</f>
        <v>98820</v>
      </c>
      <c r="G61" s="865"/>
    </row>
    <row r="62" s="32" customFormat="1" ht="12" customHeight="1">
      <c r="F62" s="29"/>
    </row>
    <row r="63" spans="2:3" ht="12" customHeight="1">
      <c r="B63" s="853" t="s">
        <v>281</v>
      </c>
      <c r="C63" s="854" t="s">
        <v>530</v>
      </c>
    </row>
    <row r="64" spans="2:3" ht="12" customHeight="1">
      <c r="B64" s="856" t="s">
        <v>282</v>
      </c>
      <c r="C64" s="866">
        <v>10</v>
      </c>
    </row>
    <row r="65" spans="2:3" ht="12" customHeight="1">
      <c r="B65" s="856" t="s">
        <v>283</v>
      </c>
      <c r="C65" s="866">
        <v>20</v>
      </c>
    </row>
    <row r="66" spans="2:3" ht="12" customHeight="1">
      <c r="B66" s="856" t="s">
        <v>284</v>
      </c>
      <c r="C66" s="866">
        <v>30</v>
      </c>
    </row>
    <row r="67" spans="2:3" ht="12" customHeight="1">
      <c r="B67" s="856" t="s">
        <v>285</v>
      </c>
      <c r="C67" s="866">
        <v>40</v>
      </c>
    </row>
    <row r="68" spans="2:3" ht="12" customHeight="1">
      <c r="B68" s="856" t="s">
        <v>286</v>
      </c>
      <c r="C68" s="866">
        <v>45</v>
      </c>
    </row>
    <row r="69" spans="2:3" ht="12" customHeight="1">
      <c r="B69" s="856" t="s">
        <v>287</v>
      </c>
      <c r="C69" s="866">
        <v>55</v>
      </c>
    </row>
    <row r="70" spans="2:3" ht="12" customHeight="1">
      <c r="B70" s="856" t="s">
        <v>288</v>
      </c>
      <c r="C70" s="866">
        <v>65</v>
      </c>
    </row>
    <row r="71" spans="2:3" ht="12" customHeight="1">
      <c r="B71" s="856">
        <v>16</v>
      </c>
      <c r="C71" s="866">
        <v>4.45</v>
      </c>
    </row>
    <row r="72" spans="2:3" ht="12" customHeight="1">
      <c r="B72" s="856">
        <v>18</v>
      </c>
      <c r="C72" s="866">
        <v>4.35</v>
      </c>
    </row>
    <row r="73" spans="2:3" ht="12" customHeight="1">
      <c r="B73" s="856">
        <v>20</v>
      </c>
      <c r="C73" s="866">
        <v>4.25</v>
      </c>
    </row>
    <row r="74" spans="2:3" ht="12" customHeight="1">
      <c r="B74" s="856">
        <v>25</v>
      </c>
      <c r="C74" s="866">
        <v>4.15</v>
      </c>
    </row>
    <row r="75" spans="2:3" ht="12" customHeight="1">
      <c r="B75" s="856">
        <v>30</v>
      </c>
      <c r="C75" s="866">
        <v>4.1</v>
      </c>
    </row>
    <row r="76" spans="2:3" ht="12" customHeight="1">
      <c r="B76" s="856">
        <v>35</v>
      </c>
      <c r="C76" s="866">
        <v>4</v>
      </c>
    </row>
    <row r="77" spans="2:3" ht="12" customHeight="1">
      <c r="B77" s="856">
        <v>40</v>
      </c>
      <c r="C77" s="866">
        <v>3.95</v>
      </c>
    </row>
    <row r="78" spans="2:3" ht="12" customHeight="1">
      <c r="B78" s="856">
        <v>50</v>
      </c>
      <c r="C78" s="866">
        <v>3.8</v>
      </c>
    </row>
    <row r="79" spans="2:3" ht="12" customHeight="1">
      <c r="B79" s="856">
        <v>60</v>
      </c>
      <c r="C79" s="866">
        <v>3.65</v>
      </c>
    </row>
    <row r="80" spans="2:3" ht="12" customHeight="1">
      <c r="B80" s="856">
        <v>70</v>
      </c>
      <c r="C80" s="866">
        <v>3.5</v>
      </c>
    </row>
    <row r="81" spans="2:3" ht="12" customHeight="1">
      <c r="B81" s="856">
        <v>80</v>
      </c>
      <c r="C81" s="866">
        <v>3.35</v>
      </c>
    </row>
    <row r="82" spans="2:3" ht="12" customHeight="1">
      <c r="B82" s="856">
        <v>90</v>
      </c>
      <c r="C82" s="866">
        <v>3.2</v>
      </c>
    </row>
    <row r="83" spans="2:3" ht="12" customHeight="1">
      <c r="B83" s="856">
        <v>100</v>
      </c>
      <c r="C83" s="866">
        <v>3.05</v>
      </c>
    </row>
    <row r="84" spans="2:3" ht="12" customHeight="1">
      <c r="B84" s="856">
        <v>110</v>
      </c>
      <c r="C84" s="866">
        <v>2.95</v>
      </c>
    </row>
    <row r="85" spans="2:3" ht="12" customHeight="1">
      <c r="B85" s="856">
        <v>120</v>
      </c>
      <c r="C85" s="866">
        <v>2.85</v>
      </c>
    </row>
    <row r="86" spans="2:3" ht="12" customHeight="1">
      <c r="B86" s="867">
        <v>130</v>
      </c>
      <c r="C86" s="867">
        <v>2.8</v>
      </c>
    </row>
    <row r="87" spans="2:3" ht="12.75">
      <c r="B87" s="867">
        <v>140</v>
      </c>
      <c r="C87" s="867">
        <v>2.7</v>
      </c>
    </row>
    <row r="88" spans="2:3" ht="12.75">
      <c r="B88" s="867">
        <v>150</v>
      </c>
      <c r="C88" s="867">
        <v>2.6</v>
      </c>
    </row>
  </sheetData>
  <sheetProtection/>
  <printOptions/>
  <pageMargins left="0.7874015748031497" right="0.1968503937007874" top="0.11811023622047245" bottom="0"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codeName="Tabelle18">
    <tabColor indexed="8"/>
    <pageSetUpPr fitToPage="1"/>
  </sheetPr>
  <dimension ref="A1:C84"/>
  <sheetViews>
    <sheetView showGridLines="0" zoomScalePageLayoutView="0" workbookViewId="0" topLeftCell="A1">
      <selection activeCell="C2" sqref="C2"/>
    </sheetView>
  </sheetViews>
  <sheetFormatPr defaultColWidth="11.421875" defaultRowHeight="12.75"/>
  <cols>
    <col min="1" max="1" width="20.140625" style="105" customWidth="1"/>
    <col min="2" max="2" width="28.8515625" style="105" customWidth="1"/>
    <col min="3" max="3" width="17.28125" style="105" bestFit="1" customWidth="1"/>
    <col min="4" max="4" width="11.421875" style="106" customWidth="1"/>
    <col min="5" max="5" width="8.00390625" style="107" customWidth="1"/>
    <col min="6" max="6" width="9.140625" style="107" customWidth="1"/>
    <col min="7" max="7" width="5.8515625" style="107" customWidth="1"/>
    <col min="8" max="16384" width="11.421875" style="106" customWidth="1"/>
  </cols>
  <sheetData>
    <row r="1" spans="1:3" ht="14.25">
      <c r="A1" s="108" t="s">
        <v>343</v>
      </c>
      <c r="B1" s="108" t="s">
        <v>344</v>
      </c>
      <c r="C1" s="108" t="s">
        <v>345</v>
      </c>
    </row>
    <row r="2" spans="1:3" ht="14.25">
      <c r="A2" s="473">
        <v>38353</v>
      </c>
      <c r="B2" s="469">
        <f>DATEVALUE("01.01.2005")</f>
        <v>38353</v>
      </c>
      <c r="C2" s="474">
        <v>2300</v>
      </c>
    </row>
    <row r="3" spans="1:3" ht="14.25">
      <c r="A3" s="473">
        <v>38718</v>
      </c>
      <c r="B3" s="469">
        <f>DATEVALUE("01.01.2006")</f>
        <v>38718</v>
      </c>
      <c r="C3" s="474">
        <v>2300</v>
      </c>
    </row>
    <row r="4" spans="1:3" ht="14.25">
      <c r="A4" s="473">
        <v>39083</v>
      </c>
      <c r="B4" s="471">
        <f>DATEVALUE("01.01.2007")</f>
        <v>39083</v>
      </c>
      <c r="C4" s="472">
        <v>2300</v>
      </c>
    </row>
    <row r="5" spans="1:3" ht="14.25">
      <c r="A5" s="473">
        <v>39448</v>
      </c>
      <c r="B5" s="469">
        <f>DATEVALUE("01.01.2008")</f>
        <v>39448</v>
      </c>
      <c r="C5" s="469">
        <v>2300</v>
      </c>
    </row>
    <row r="6" spans="1:3" ht="14.25">
      <c r="A6" s="473">
        <v>39814</v>
      </c>
      <c r="B6" s="469">
        <f>DATEVALUE("01.01.2009")</f>
        <v>39814</v>
      </c>
      <c r="C6" s="469">
        <v>2300</v>
      </c>
    </row>
    <row r="7" spans="1:3" ht="14.25">
      <c r="A7" s="473">
        <v>40179</v>
      </c>
      <c r="B7" s="469">
        <f>DATEVALUE("01.01.2010")</f>
        <v>40179</v>
      </c>
      <c r="C7" s="469">
        <v>2300</v>
      </c>
    </row>
    <row r="8" spans="1:3" ht="14.25">
      <c r="A8" s="473">
        <v>40544</v>
      </c>
      <c r="B8" s="469">
        <f>DATEVALUE("01.01.2011")</f>
        <v>40544</v>
      </c>
      <c r="C8" s="469">
        <v>2300</v>
      </c>
    </row>
    <row r="9" spans="1:3" ht="14.25">
      <c r="A9" s="473">
        <v>40909</v>
      </c>
      <c r="B9" s="469">
        <f>DATEVALUE("01.01.2012")</f>
        <v>40909</v>
      </c>
      <c r="C9" s="469">
        <v>2300</v>
      </c>
    </row>
    <row r="10" spans="1:3" ht="14.25">
      <c r="A10" s="473">
        <v>41275</v>
      </c>
      <c r="B10" s="469">
        <f>DATEVALUE("01.01.2013")</f>
        <v>41275</v>
      </c>
      <c r="C10" s="469">
        <v>2300</v>
      </c>
    </row>
    <row r="11" spans="1:3" ht="14.25">
      <c r="A11" s="473">
        <v>41640</v>
      </c>
      <c r="B11" s="469">
        <f>DATEVALUE("01.01.2014")</f>
        <v>41640</v>
      </c>
      <c r="C11" s="469">
        <v>2300</v>
      </c>
    </row>
    <row r="12" spans="1:3" ht="14.25">
      <c r="A12" s="812">
        <v>42005</v>
      </c>
      <c r="B12" s="469">
        <f>DATEVALUE("1.1.2015")</f>
        <v>42005</v>
      </c>
      <c r="C12" s="469">
        <v>2300</v>
      </c>
    </row>
    <row r="13" spans="1:3" ht="14.25">
      <c r="A13" s="812">
        <v>42370</v>
      </c>
      <c r="B13" s="469">
        <f>DATEVALUE("1.1.2016")</f>
        <v>42370</v>
      </c>
      <c r="C13" s="469">
        <v>2300</v>
      </c>
    </row>
    <row r="14" spans="1:3" ht="14.25">
      <c r="A14" s="169">
        <v>42750</v>
      </c>
      <c r="B14" s="105">
        <f>DATEVALUE("15.1.17")</f>
        <v>42750</v>
      </c>
      <c r="C14" s="105">
        <v>2300</v>
      </c>
    </row>
    <row r="15" spans="1:3" ht="14.25">
      <c r="A15" s="169">
        <v>42767</v>
      </c>
      <c r="B15" s="105">
        <f>DATEVALUE("1.2.17")</f>
        <v>42767</v>
      </c>
      <c r="C15" s="105">
        <v>2300</v>
      </c>
    </row>
    <row r="16" spans="1:3" ht="14.25">
      <c r="A16" s="169">
        <v>42781</v>
      </c>
      <c r="B16" s="105">
        <f>DATEVALUE("15.2.17")</f>
        <v>42781</v>
      </c>
      <c r="C16" s="105">
        <v>2300</v>
      </c>
    </row>
    <row r="17" spans="1:3" ht="14.25">
      <c r="A17" s="169">
        <v>42795</v>
      </c>
      <c r="B17" s="105">
        <f>DATEVALUE("1.3.17")</f>
        <v>42795</v>
      </c>
      <c r="C17" s="105">
        <v>2300</v>
      </c>
    </row>
    <row r="18" spans="1:3" ht="14.25">
      <c r="A18" s="169">
        <v>42809</v>
      </c>
      <c r="B18" s="105">
        <f>DATEVALUE("15.3.17")</f>
        <v>42809</v>
      </c>
      <c r="C18" s="105">
        <v>2300</v>
      </c>
    </row>
    <row r="19" spans="1:3" ht="14.25">
      <c r="A19" s="169">
        <v>42826</v>
      </c>
      <c r="B19" s="105">
        <f>DATEVALUE("1.4.17")</f>
        <v>42826</v>
      </c>
      <c r="C19" s="105">
        <v>2300</v>
      </c>
    </row>
    <row r="20" spans="1:3" ht="14.25">
      <c r="A20" s="169">
        <v>42840</v>
      </c>
      <c r="B20" s="105">
        <f>DATEVALUE("15.4.17")</f>
        <v>42840</v>
      </c>
      <c r="C20" s="105">
        <v>2300</v>
      </c>
    </row>
    <row r="21" spans="1:3" ht="14.25">
      <c r="A21" s="169">
        <v>42856</v>
      </c>
      <c r="B21" s="105">
        <f>DATEVALUE("1.5.17")</f>
        <v>42856</v>
      </c>
      <c r="C21" s="105">
        <v>2300</v>
      </c>
    </row>
    <row r="22" spans="1:3" ht="14.25">
      <c r="A22" s="169">
        <v>42870</v>
      </c>
      <c r="B22" s="105">
        <f>DATEVALUE("15.5.17")</f>
        <v>42870</v>
      </c>
      <c r="C22" s="105">
        <v>2300</v>
      </c>
    </row>
    <row r="23" spans="1:3" ht="14.25">
      <c r="A23" s="169">
        <v>42887</v>
      </c>
      <c r="B23" s="105">
        <f>DATEVALUE("1.6.17")</f>
        <v>42887</v>
      </c>
      <c r="C23" s="105">
        <v>2300</v>
      </c>
    </row>
    <row r="24" spans="1:3" ht="14.25">
      <c r="A24" s="169">
        <v>42901</v>
      </c>
      <c r="B24" s="105">
        <f>DATEVALUE("15.6.17")</f>
        <v>42901</v>
      </c>
      <c r="C24" s="105">
        <v>2300</v>
      </c>
    </row>
    <row r="25" spans="1:3" ht="14.25">
      <c r="A25" s="169">
        <v>42917</v>
      </c>
      <c r="B25" s="105">
        <f>DATEVALUE("1.7.17")</f>
        <v>42917</v>
      </c>
      <c r="C25" s="492">
        <v>2300</v>
      </c>
    </row>
    <row r="26" spans="1:3" ht="14.25">
      <c r="A26" s="169">
        <v>42931</v>
      </c>
      <c r="B26" s="105">
        <f>DATEVALUE("15.7.17")</f>
        <v>42931</v>
      </c>
      <c r="C26" s="105">
        <v>2270</v>
      </c>
    </row>
    <row r="27" spans="1:3" ht="14.25">
      <c r="A27" s="169">
        <v>42948</v>
      </c>
      <c r="B27" s="105">
        <f>DATEVALUE("1.8.17")</f>
        <v>42948</v>
      </c>
      <c r="C27" s="105">
        <v>2230</v>
      </c>
    </row>
    <row r="28" spans="1:3" ht="14.25">
      <c r="A28" s="169">
        <v>42962</v>
      </c>
      <c r="B28" s="105">
        <f>DATEVALUE("15.8.17")</f>
        <v>42962</v>
      </c>
      <c r="C28" s="105">
        <v>2190</v>
      </c>
    </row>
    <row r="29" spans="1:3" ht="14.25">
      <c r="A29" s="169">
        <v>42979</v>
      </c>
      <c r="B29" s="105">
        <f>DATEVALUE("1.9.17")</f>
        <v>42979</v>
      </c>
      <c r="C29" s="105">
        <v>2150</v>
      </c>
    </row>
    <row r="30" spans="1:3" ht="14.25">
      <c r="A30" s="169">
        <v>42993</v>
      </c>
      <c r="B30" s="105">
        <f>DATEVALUE("15.9.17")</f>
        <v>42993</v>
      </c>
      <c r="C30" s="105">
        <v>2110</v>
      </c>
    </row>
    <row r="31" spans="1:3" ht="14.25">
      <c r="A31" s="169">
        <v>43009</v>
      </c>
      <c r="B31" s="105">
        <f>DATEVALUE("1.10.17")</f>
        <v>43009</v>
      </c>
      <c r="C31" s="492">
        <v>2070</v>
      </c>
    </row>
    <row r="32" spans="1:3" ht="14.25">
      <c r="A32" s="169">
        <v>43023</v>
      </c>
      <c r="B32" s="105">
        <f>DATEVALUE("15.10.17")</f>
        <v>43023</v>
      </c>
      <c r="C32" s="105">
        <v>2030</v>
      </c>
    </row>
    <row r="33" spans="1:3" ht="14.25">
      <c r="A33" s="169">
        <v>43040</v>
      </c>
      <c r="B33" s="105">
        <f>DATEVALUE("1.11.17")</f>
        <v>43040</v>
      </c>
      <c r="C33" s="105">
        <v>1990</v>
      </c>
    </row>
    <row r="34" spans="1:3" ht="14.25">
      <c r="A34" s="169">
        <v>43054</v>
      </c>
      <c r="B34" s="105">
        <f>DATEVALUE("15.11.17")</f>
        <v>43054</v>
      </c>
      <c r="C34" s="105">
        <v>1950</v>
      </c>
    </row>
    <row r="35" spans="1:3" ht="14.25">
      <c r="A35" s="169">
        <v>43070</v>
      </c>
      <c r="B35" s="105">
        <f>DATEVALUE("1.12.17")</f>
        <v>43070</v>
      </c>
      <c r="C35" s="105">
        <v>1910</v>
      </c>
    </row>
    <row r="36" spans="1:3" ht="14.25">
      <c r="A36" s="470">
        <v>43084</v>
      </c>
      <c r="B36" s="471">
        <f>DATEVALUE("15.12.17")</f>
        <v>43084</v>
      </c>
      <c r="C36" s="471">
        <v>1870</v>
      </c>
    </row>
    <row r="37" spans="1:3" ht="14.25">
      <c r="A37" s="169">
        <v>43101</v>
      </c>
      <c r="B37" s="105">
        <f>DATEVALUE("1.1.18")</f>
        <v>43101</v>
      </c>
      <c r="C37" s="105">
        <v>1830</v>
      </c>
    </row>
    <row r="38" spans="1:3" ht="14.25">
      <c r="A38" s="169">
        <v>43115</v>
      </c>
      <c r="B38" s="105">
        <f>DATEVALUE("15.1.18")</f>
        <v>43115</v>
      </c>
      <c r="C38" s="105">
        <v>1790</v>
      </c>
    </row>
    <row r="39" spans="1:3" ht="14.25">
      <c r="A39" s="169">
        <v>43132</v>
      </c>
      <c r="B39" s="105">
        <f>DATEVALUE("1.2.18")</f>
        <v>43132</v>
      </c>
      <c r="C39" s="105">
        <v>1750</v>
      </c>
    </row>
    <row r="40" spans="1:3" ht="14.25">
      <c r="A40" s="169">
        <v>43146</v>
      </c>
      <c r="B40" s="105">
        <f>DATEVALUE("15.2.18")</f>
        <v>43146</v>
      </c>
      <c r="C40" s="105">
        <v>1710</v>
      </c>
    </row>
    <row r="41" spans="1:3" ht="14.25">
      <c r="A41" s="169">
        <v>43160</v>
      </c>
      <c r="B41" s="105">
        <f>DATEVALUE("1.3.18")</f>
        <v>43160</v>
      </c>
      <c r="C41" s="105">
        <v>1670</v>
      </c>
    </row>
    <row r="42" spans="1:3" ht="14.25">
      <c r="A42" s="169">
        <v>43174</v>
      </c>
      <c r="B42" s="105">
        <f>DATEVALUE("15.3.18")</f>
        <v>43174</v>
      </c>
      <c r="C42" s="105">
        <v>1630</v>
      </c>
    </row>
    <row r="43" spans="1:3" ht="14.25">
      <c r="A43" s="169">
        <v>43191</v>
      </c>
      <c r="B43" s="105">
        <f>DATEVALUE("1.4.18")</f>
        <v>43191</v>
      </c>
      <c r="C43" s="105">
        <v>1590</v>
      </c>
    </row>
    <row r="44" spans="1:3" ht="14.25">
      <c r="A44" s="169">
        <v>43205</v>
      </c>
      <c r="B44" s="105">
        <f>DATEVALUE("15.4.18")</f>
        <v>43205</v>
      </c>
      <c r="C44" s="105">
        <v>1555</v>
      </c>
    </row>
    <row r="45" spans="1:3" ht="14.25">
      <c r="A45" s="169">
        <v>43221</v>
      </c>
      <c r="B45" s="105">
        <f>DATEVALUE("1.5.18")</f>
        <v>43221</v>
      </c>
      <c r="C45" s="802">
        <v>1520</v>
      </c>
    </row>
    <row r="46" spans="1:3" ht="14.25">
      <c r="A46" s="169">
        <v>43235</v>
      </c>
      <c r="B46" s="105">
        <f>DATEVALUE("15.5.18")</f>
        <v>43235</v>
      </c>
      <c r="C46" s="105">
        <v>1485</v>
      </c>
    </row>
    <row r="47" spans="1:3" ht="14.25">
      <c r="A47" s="169">
        <v>43252</v>
      </c>
      <c r="B47" s="105">
        <f>DATEVALUE("1.6.18")</f>
        <v>43252</v>
      </c>
      <c r="C47" s="105">
        <v>1450</v>
      </c>
    </row>
    <row r="48" spans="1:3" ht="14.25">
      <c r="A48" s="169">
        <v>43266</v>
      </c>
      <c r="B48" s="105">
        <f>DATEVALUE("15.6.18")</f>
        <v>43266</v>
      </c>
      <c r="C48" s="105">
        <v>1415</v>
      </c>
    </row>
    <row r="49" spans="1:3" ht="14.25">
      <c r="A49" s="169">
        <v>43282</v>
      </c>
      <c r="B49" s="105">
        <f>DATEVALUE("1.7.18")</f>
        <v>43282</v>
      </c>
      <c r="C49" s="492">
        <v>1380</v>
      </c>
    </row>
    <row r="50" spans="1:3" ht="14.25">
      <c r="A50" s="169">
        <v>43296</v>
      </c>
      <c r="B50" s="105">
        <f>DATEVALUE("15.7.18")</f>
        <v>43296</v>
      </c>
      <c r="C50" s="105">
        <v>1355</v>
      </c>
    </row>
    <row r="51" spans="1:3" ht="14.25">
      <c r="A51" s="169">
        <v>43313</v>
      </c>
      <c r="B51" s="105">
        <f>DATEVALUE("1.8.18")</f>
        <v>43313</v>
      </c>
      <c r="C51" s="105">
        <v>1320</v>
      </c>
    </row>
    <row r="52" spans="1:3" ht="14.25">
      <c r="A52" s="169">
        <v>43327</v>
      </c>
      <c r="B52" s="105">
        <f>DATEVALUE("15.8.18")</f>
        <v>43327</v>
      </c>
      <c r="C52" s="105">
        <v>1285</v>
      </c>
    </row>
    <row r="53" spans="1:3" ht="14.25">
      <c r="A53" s="169">
        <v>43344</v>
      </c>
      <c r="B53" s="105">
        <f>DATEVALUE("1.9.18")</f>
        <v>43344</v>
      </c>
      <c r="C53" s="105">
        <v>1250</v>
      </c>
    </row>
    <row r="54" spans="1:3" ht="14.25">
      <c r="A54" s="169">
        <v>43358</v>
      </c>
      <c r="B54" s="105">
        <f>DATEVALUE("15.9.18")</f>
        <v>43358</v>
      </c>
      <c r="C54" s="105">
        <v>1215</v>
      </c>
    </row>
    <row r="55" spans="1:3" ht="14.25">
      <c r="A55" s="169">
        <v>43374</v>
      </c>
      <c r="B55" s="105">
        <f>DATEVALUE("1.10.18")</f>
        <v>43374</v>
      </c>
      <c r="C55" s="105">
        <v>1180</v>
      </c>
    </row>
    <row r="56" spans="1:3" ht="14.25">
      <c r="A56" s="169">
        <v>43388</v>
      </c>
      <c r="B56" s="105">
        <f>DATEVALUE("15.10.18")</f>
        <v>43388</v>
      </c>
      <c r="C56" s="105">
        <v>1145</v>
      </c>
    </row>
    <row r="57" spans="1:3" ht="14.25">
      <c r="A57" s="169">
        <v>43405</v>
      </c>
      <c r="B57" s="105">
        <f>DATEVALUE("1.11.18")</f>
        <v>43405</v>
      </c>
      <c r="C57" s="802">
        <v>1110</v>
      </c>
    </row>
    <row r="58" spans="1:3" ht="14.25">
      <c r="A58" s="169">
        <v>43419</v>
      </c>
      <c r="B58" s="105">
        <f>DATEVALUE("15.11.18")</f>
        <v>43419</v>
      </c>
      <c r="C58" s="105">
        <v>1075</v>
      </c>
    </row>
    <row r="59" spans="1:3" ht="14.25">
      <c r="A59" s="169">
        <v>43435</v>
      </c>
      <c r="B59" s="105">
        <f>DATEVALUE("1.12.18")</f>
        <v>43435</v>
      </c>
      <c r="C59" s="105">
        <v>1040</v>
      </c>
    </row>
    <row r="60" spans="1:3" ht="14.25">
      <c r="A60" s="470">
        <v>43449</v>
      </c>
      <c r="B60" s="471">
        <f>DATEVALUE("15.12.18")</f>
        <v>43449</v>
      </c>
      <c r="C60" s="471">
        <v>1005</v>
      </c>
    </row>
    <row r="61" spans="1:3" ht="14.25">
      <c r="A61" s="169">
        <v>43466</v>
      </c>
      <c r="B61" s="105">
        <f>DATEVALUE("1.1.19")</f>
        <v>43466</v>
      </c>
      <c r="C61" s="105">
        <v>970</v>
      </c>
    </row>
    <row r="62" spans="1:3" ht="14.25">
      <c r="A62" s="169">
        <v>43480</v>
      </c>
      <c r="B62" s="105">
        <f>DATEVALUE("15.1.19")</f>
        <v>43480</v>
      </c>
      <c r="C62" s="105">
        <v>935</v>
      </c>
    </row>
    <row r="63" spans="1:3" ht="14.25">
      <c r="A63" s="169">
        <v>43497</v>
      </c>
      <c r="B63" s="105">
        <f>DATEVALUE("1.2.19")</f>
        <v>43497</v>
      </c>
      <c r="C63" s="105">
        <v>900</v>
      </c>
    </row>
    <row r="64" spans="1:3" ht="14.25">
      <c r="A64" s="169">
        <v>43511</v>
      </c>
      <c r="B64" s="105">
        <f>DATEVALUE("15.2.19")</f>
        <v>43511</v>
      </c>
      <c r="C64" s="105">
        <v>865</v>
      </c>
    </row>
    <row r="65" spans="1:3" ht="14.25">
      <c r="A65" s="169">
        <v>43525</v>
      </c>
      <c r="B65" s="105">
        <f>DATEVALUE("1.3.19")</f>
        <v>43525</v>
      </c>
      <c r="C65" s="105">
        <v>830</v>
      </c>
    </row>
    <row r="66" spans="1:3" ht="14.25">
      <c r="A66" s="169">
        <v>43539</v>
      </c>
      <c r="B66" s="105">
        <f>DATEVALUE("15.3.19")</f>
        <v>43539</v>
      </c>
      <c r="C66" s="105">
        <v>795</v>
      </c>
    </row>
    <row r="67" spans="1:3" ht="14.25">
      <c r="A67" s="169">
        <v>43556</v>
      </c>
      <c r="B67" s="105">
        <f>DATEVALUE("1.4.19")</f>
        <v>43556</v>
      </c>
      <c r="C67" s="105">
        <v>760</v>
      </c>
    </row>
    <row r="68" spans="1:3" ht="14.25">
      <c r="A68" s="169">
        <v>43570</v>
      </c>
      <c r="B68" s="105">
        <f>DATEVALUE("15.4.19")</f>
        <v>43570</v>
      </c>
      <c r="C68" s="105">
        <v>725</v>
      </c>
    </row>
    <row r="69" spans="1:3" ht="14.25">
      <c r="A69" s="169">
        <v>43586</v>
      </c>
      <c r="B69" s="105">
        <f>DATEVALUE("1.5.19")</f>
        <v>43586</v>
      </c>
      <c r="C69" s="492">
        <v>690</v>
      </c>
    </row>
    <row r="70" spans="1:3" ht="14.25">
      <c r="A70" s="169">
        <v>43600</v>
      </c>
      <c r="B70" s="105">
        <f>DATEVALUE("15.5.19")</f>
        <v>43600</v>
      </c>
      <c r="C70" s="105">
        <v>675</v>
      </c>
    </row>
    <row r="71" spans="1:3" ht="14.25">
      <c r="A71" s="169">
        <v>43617</v>
      </c>
      <c r="B71" s="105">
        <f>DATEVALUE("1.6.19")</f>
        <v>43617</v>
      </c>
      <c r="C71" s="105">
        <v>660</v>
      </c>
    </row>
    <row r="72" spans="1:3" ht="14.25">
      <c r="A72" s="169">
        <v>43631</v>
      </c>
      <c r="B72" s="105">
        <f>DATEVALUE("15.6.19")</f>
        <v>43631</v>
      </c>
      <c r="C72" s="105">
        <v>640</v>
      </c>
    </row>
    <row r="73" spans="1:3" ht="14.25">
      <c r="A73" s="169">
        <v>43647</v>
      </c>
      <c r="B73" s="105">
        <f>DATEVALUE("1.7.19")</f>
        <v>43647</v>
      </c>
      <c r="C73" s="105">
        <v>620</v>
      </c>
    </row>
    <row r="74" spans="1:3" ht="14.25">
      <c r="A74" s="169">
        <v>43661</v>
      </c>
      <c r="B74" s="105">
        <f>DATEVALUE("15.7.19")</f>
        <v>43661</v>
      </c>
      <c r="C74" s="105">
        <v>600</v>
      </c>
    </row>
    <row r="75" spans="1:3" ht="14.25">
      <c r="A75" s="169">
        <v>43678</v>
      </c>
      <c r="B75" s="105">
        <f>DATEVALUE("1.8.19")</f>
        <v>43678</v>
      </c>
      <c r="C75" s="105">
        <v>580</v>
      </c>
    </row>
    <row r="76" spans="1:3" ht="14.25">
      <c r="A76" s="169">
        <v>43692</v>
      </c>
      <c r="B76" s="105">
        <f>DATEVALUE("15.8.19")</f>
        <v>43692</v>
      </c>
      <c r="C76" s="105">
        <v>560</v>
      </c>
    </row>
    <row r="77" spans="1:3" ht="14.25">
      <c r="A77" s="169">
        <v>43709</v>
      </c>
      <c r="B77" s="105">
        <f>DATEVALUE("1.9.19")</f>
        <v>43709</v>
      </c>
      <c r="C77" s="105">
        <v>540</v>
      </c>
    </row>
    <row r="78" spans="1:3" ht="14.25">
      <c r="A78" s="169">
        <v>43723</v>
      </c>
      <c r="B78" s="105">
        <f>DATEVALUE("15.9.19")</f>
        <v>43723</v>
      </c>
      <c r="C78" s="105">
        <v>520</v>
      </c>
    </row>
    <row r="79" spans="1:3" ht="14.25">
      <c r="A79" s="169">
        <v>43739</v>
      </c>
      <c r="B79" s="105">
        <f>DATEVALUE("1.10.19")</f>
        <v>43739</v>
      </c>
      <c r="C79" s="105">
        <v>500</v>
      </c>
    </row>
    <row r="80" spans="1:3" ht="14.25">
      <c r="A80" s="169">
        <v>43753</v>
      </c>
      <c r="B80" s="105">
        <f>DATEVALUE("15.10.19")</f>
        <v>43753</v>
      </c>
      <c r="C80" s="105">
        <v>480</v>
      </c>
    </row>
    <row r="81" spans="1:3" ht="14.25">
      <c r="A81" s="169">
        <v>43770</v>
      </c>
      <c r="B81" s="105">
        <f>DATEVALUE("1.11.19")</f>
        <v>43770</v>
      </c>
      <c r="C81" s="492">
        <v>460</v>
      </c>
    </row>
    <row r="82" spans="1:3" ht="14.25">
      <c r="A82" s="169">
        <v>43784</v>
      </c>
      <c r="B82" s="105">
        <f>DATEVALUE("15.11.19")</f>
        <v>43784</v>
      </c>
      <c r="C82" s="105">
        <v>440</v>
      </c>
    </row>
    <row r="83" spans="1:3" ht="14.25">
      <c r="A83" s="169">
        <v>43800</v>
      </c>
      <c r="B83" s="105">
        <f>DATEVALUE("1.12.19")</f>
        <v>43800</v>
      </c>
      <c r="C83" s="105">
        <v>420</v>
      </c>
    </row>
    <row r="84" spans="1:3" ht="14.25">
      <c r="A84" s="470">
        <v>43814</v>
      </c>
      <c r="B84" s="471">
        <f>DATEVALUE("15.12.19")</f>
        <v>43814</v>
      </c>
      <c r="C84" s="471">
        <v>400</v>
      </c>
    </row>
  </sheetData>
  <sheetProtection/>
  <printOptions/>
  <pageMargins left="0.787401575" right="0.787401575" top="0.984251969" bottom="0.984251969" header="0.4921259845" footer="0.4921259845"/>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Tabelle6">
    <tabColor indexed="43"/>
  </sheetPr>
  <dimension ref="A1:H42"/>
  <sheetViews>
    <sheetView showGridLines="0" showZeros="0" zoomScale="90" zoomScaleNormal="90" zoomScalePageLayoutView="0" workbookViewId="0" topLeftCell="A1">
      <selection activeCell="C10" sqref="C10"/>
    </sheetView>
  </sheetViews>
  <sheetFormatPr defaultColWidth="11.421875" defaultRowHeight="12.75"/>
  <cols>
    <col min="1" max="1" width="3.140625" style="0" customWidth="1"/>
    <col min="2" max="2" width="25.28125" style="0" customWidth="1"/>
    <col min="3" max="3" width="9.57421875" style="16" customWidth="1"/>
    <col min="4" max="4" width="10.421875" style="0" customWidth="1"/>
    <col min="5" max="5" width="3.7109375" style="0" customWidth="1"/>
    <col min="6" max="6" width="24.7109375" style="0" customWidth="1"/>
    <col min="7" max="7" width="9.28125" style="16" customWidth="1"/>
    <col min="8" max="8" width="10.140625" style="0" customWidth="1"/>
  </cols>
  <sheetData>
    <row r="1" ht="23.25">
      <c r="A1" s="790">
        <f>DECKBLATT!B14</f>
        <v>0</v>
      </c>
    </row>
    <row r="2" ht="13.5" customHeight="1"/>
    <row r="3" spans="3:8" ht="16.5" customHeight="1">
      <c r="C3" s="116"/>
      <c r="D3" s="88"/>
      <c r="E3" s="21"/>
      <c r="F3" s="965"/>
      <c r="G3" s="965"/>
      <c r="H3" s="965"/>
    </row>
    <row r="4" spans="1:8" ht="27.75" customHeight="1">
      <c r="A4" s="823" t="s">
        <v>441</v>
      </c>
      <c r="F4" s="957">
        <f>DECKBLATT!B11</f>
        <v>43830</v>
      </c>
      <c r="G4" s="957"/>
      <c r="H4" s="957"/>
    </row>
    <row r="5" spans="2:8" ht="12.75" customHeight="1">
      <c r="B5" s="7"/>
      <c r="F5" s="957"/>
      <c r="G5" s="957"/>
      <c r="H5" s="957"/>
    </row>
    <row r="6" spans="1:4" ht="18.75" customHeight="1">
      <c r="A6" s="556" t="s">
        <v>28</v>
      </c>
      <c r="D6" s="826" t="s">
        <v>460</v>
      </c>
    </row>
    <row r="7" ht="12.75">
      <c r="B7" s="11"/>
    </row>
    <row r="8" spans="1:8" s="18" customFormat="1" ht="12.75" customHeight="1">
      <c r="A8" s="951" t="s">
        <v>291</v>
      </c>
      <c r="B8" s="955" t="s">
        <v>29</v>
      </c>
      <c r="C8" s="961" t="s">
        <v>364</v>
      </c>
      <c r="D8" s="176" t="s">
        <v>3</v>
      </c>
      <c r="E8" s="953" t="s">
        <v>291</v>
      </c>
      <c r="F8" s="955" t="s">
        <v>29</v>
      </c>
      <c r="G8" s="961" t="s">
        <v>364</v>
      </c>
      <c r="H8" s="176" t="s">
        <v>3</v>
      </c>
    </row>
    <row r="9" spans="1:8" s="18" customFormat="1" ht="13.5" customHeight="1">
      <c r="A9" s="952"/>
      <c r="B9" s="956"/>
      <c r="C9" s="962"/>
      <c r="D9" s="176" t="s">
        <v>30</v>
      </c>
      <c r="E9" s="954"/>
      <c r="F9" s="956"/>
      <c r="G9" s="962"/>
      <c r="H9" s="176" t="s">
        <v>30</v>
      </c>
    </row>
    <row r="10" spans="1:8" ht="19.5" customHeight="1">
      <c r="A10" s="181">
        <v>1</v>
      </c>
      <c r="B10" s="664"/>
      <c r="C10" s="467"/>
      <c r="D10" s="468">
        <f>IF(B10=FALSE,0,2300)</f>
        <v>0</v>
      </c>
      <c r="E10" s="131"/>
      <c r="F10" s="963" t="s">
        <v>31</v>
      </c>
      <c r="G10" s="964"/>
      <c r="H10" s="173">
        <f>D42</f>
        <v>0</v>
      </c>
    </row>
    <row r="11" spans="1:8" ht="19.5" customHeight="1">
      <c r="A11" s="179">
        <v>2</v>
      </c>
      <c r="B11" s="665"/>
      <c r="C11" s="466"/>
      <c r="D11" s="468">
        <f>IF(B11=FALSE,0,2300)</f>
        <v>0</v>
      </c>
      <c r="E11" s="133">
        <v>33</v>
      </c>
      <c r="F11" s="667"/>
      <c r="G11" s="254"/>
      <c r="H11" s="569">
        <f>IF(F11=FALSE,0,2300)</f>
        <v>0</v>
      </c>
    </row>
    <row r="12" spans="1:8" ht="19.5" customHeight="1">
      <c r="A12" s="179">
        <v>3</v>
      </c>
      <c r="B12" s="665"/>
      <c r="C12" s="255"/>
      <c r="D12" s="468">
        <f aca="true" t="shared" si="0" ref="D12:D41">IF(B12=FALSE,0,2300)</f>
        <v>0</v>
      </c>
      <c r="E12" s="177">
        <v>34</v>
      </c>
      <c r="F12" s="668"/>
      <c r="G12" s="255"/>
      <c r="H12" s="569">
        <f aca="true" t="shared" si="1" ref="H12:H41">IF(F12=FALSE,0,2300)</f>
        <v>0</v>
      </c>
    </row>
    <row r="13" spans="1:8" ht="19.5" customHeight="1">
      <c r="A13" s="179">
        <v>4</v>
      </c>
      <c r="B13" s="665"/>
      <c r="C13" s="255"/>
      <c r="D13" s="468">
        <f t="shared" si="0"/>
        <v>0</v>
      </c>
      <c r="E13" s="177">
        <v>35</v>
      </c>
      <c r="F13" s="668"/>
      <c r="G13" s="255"/>
      <c r="H13" s="569">
        <f t="shared" si="1"/>
        <v>0</v>
      </c>
    </row>
    <row r="14" spans="1:8" ht="19.5" customHeight="1">
      <c r="A14" s="179">
        <v>5</v>
      </c>
      <c r="B14" s="665"/>
      <c r="C14" s="255"/>
      <c r="D14" s="468">
        <f t="shared" si="0"/>
        <v>0</v>
      </c>
      <c r="E14" s="177">
        <v>36</v>
      </c>
      <c r="F14" s="668"/>
      <c r="G14" s="255"/>
      <c r="H14" s="569">
        <f t="shared" si="1"/>
        <v>0</v>
      </c>
    </row>
    <row r="15" spans="1:8" ht="19.5" customHeight="1">
      <c r="A15" s="179">
        <v>6</v>
      </c>
      <c r="B15" s="665"/>
      <c r="C15" s="255"/>
      <c r="D15" s="468">
        <f t="shared" si="0"/>
        <v>0</v>
      </c>
      <c r="E15" s="177">
        <v>37</v>
      </c>
      <c r="F15" s="668"/>
      <c r="G15" s="255"/>
      <c r="H15" s="569">
        <f t="shared" si="1"/>
        <v>0</v>
      </c>
    </row>
    <row r="16" spans="1:8" ht="19.5" customHeight="1">
      <c r="A16" s="179">
        <v>7</v>
      </c>
      <c r="B16" s="665"/>
      <c r="C16" s="255"/>
      <c r="D16" s="468">
        <f t="shared" si="0"/>
        <v>0</v>
      </c>
      <c r="E16" s="177">
        <v>38</v>
      </c>
      <c r="F16" s="668"/>
      <c r="G16" s="255"/>
      <c r="H16" s="569">
        <f t="shared" si="1"/>
        <v>0</v>
      </c>
    </row>
    <row r="17" spans="1:8" ht="19.5" customHeight="1">
      <c r="A17" s="179">
        <v>8</v>
      </c>
      <c r="B17" s="665"/>
      <c r="C17" s="255"/>
      <c r="D17" s="468">
        <f t="shared" si="0"/>
        <v>0</v>
      </c>
      <c r="E17" s="177">
        <v>39</v>
      </c>
      <c r="F17" s="668"/>
      <c r="G17" s="255"/>
      <c r="H17" s="569">
        <f t="shared" si="1"/>
        <v>0</v>
      </c>
    </row>
    <row r="18" spans="1:8" ht="19.5" customHeight="1">
      <c r="A18" s="179">
        <v>9</v>
      </c>
      <c r="B18" s="665"/>
      <c r="C18" s="255"/>
      <c r="D18" s="468">
        <f t="shared" si="0"/>
        <v>0</v>
      </c>
      <c r="E18" s="177">
        <v>40</v>
      </c>
      <c r="F18" s="668"/>
      <c r="G18" s="255"/>
      <c r="H18" s="569">
        <f t="shared" si="1"/>
        <v>0</v>
      </c>
    </row>
    <row r="19" spans="1:8" ht="19.5" customHeight="1">
      <c r="A19" s="818">
        <v>10</v>
      </c>
      <c r="B19" s="665"/>
      <c r="C19" s="255"/>
      <c r="D19" s="468">
        <f t="shared" si="0"/>
        <v>0</v>
      </c>
      <c r="E19" s="177">
        <v>41</v>
      </c>
      <c r="F19" s="668"/>
      <c r="G19" s="255"/>
      <c r="H19" s="569">
        <f t="shared" si="1"/>
        <v>0</v>
      </c>
    </row>
    <row r="20" spans="1:8" ht="19.5" customHeight="1">
      <c r="A20" s="179">
        <v>11</v>
      </c>
      <c r="B20" s="665"/>
      <c r="C20" s="255"/>
      <c r="D20" s="468">
        <f t="shared" si="0"/>
        <v>0</v>
      </c>
      <c r="E20" s="177">
        <v>42</v>
      </c>
      <c r="F20" s="668"/>
      <c r="G20" s="255"/>
      <c r="H20" s="569">
        <f t="shared" si="1"/>
        <v>0</v>
      </c>
    </row>
    <row r="21" spans="1:8" ht="19.5" customHeight="1">
      <c r="A21" s="179">
        <v>12</v>
      </c>
      <c r="B21" s="665"/>
      <c r="C21" s="255"/>
      <c r="D21" s="468">
        <f t="shared" si="0"/>
        <v>0</v>
      </c>
      <c r="E21" s="177">
        <v>43</v>
      </c>
      <c r="F21" s="668"/>
      <c r="G21" s="255"/>
      <c r="H21" s="569">
        <f t="shared" si="1"/>
        <v>0</v>
      </c>
    </row>
    <row r="22" spans="1:8" ht="19.5" customHeight="1">
      <c r="A22" s="179">
        <v>13</v>
      </c>
      <c r="B22" s="665"/>
      <c r="C22" s="255"/>
      <c r="D22" s="468">
        <f t="shared" si="0"/>
        <v>0</v>
      </c>
      <c r="E22" s="177">
        <v>44</v>
      </c>
      <c r="F22" s="668"/>
      <c r="G22" s="255"/>
      <c r="H22" s="569">
        <f t="shared" si="1"/>
        <v>0</v>
      </c>
    </row>
    <row r="23" spans="1:8" ht="19.5" customHeight="1">
      <c r="A23" s="179">
        <v>14</v>
      </c>
      <c r="B23" s="665"/>
      <c r="C23" s="255"/>
      <c r="D23" s="468">
        <f t="shared" si="0"/>
        <v>0</v>
      </c>
      <c r="E23" s="177">
        <v>45</v>
      </c>
      <c r="F23" s="668"/>
      <c r="G23" s="255"/>
      <c r="H23" s="569">
        <f t="shared" si="1"/>
        <v>0</v>
      </c>
    </row>
    <row r="24" spans="1:8" ht="19.5" customHeight="1">
      <c r="A24" s="179">
        <v>15</v>
      </c>
      <c r="B24" s="665"/>
      <c r="C24" s="255"/>
      <c r="D24" s="468">
        <f t="shared" si="0"/>
        <v>0</v>
      </c>
      <c r="E24" s="177">
        <v>46</v>
      </c>
      <c r="F24" s="668"/>
      <c r="G24" s="255"/>
      <c r="H24" s="569">
        <f t="shared" si="1"/>
        <v>0</v>
      </c>
    </row>
    <row r="25" spans="1:8" ht="19.5" customHeight="1">
      <c r="A25" s="179">
        <v>16</v>
      </c>
      <c r="B25" s="665"/>
      <c r="C25" s="255"/>
      <c r="D25" s="468">
        <f t="shared" si="0"/>
        <v>0</v>
      </c>
      <c r="E25" s="177">
        <v>47</v>
      </c>
      <c r="F25" s="668"/>
      <c r="G25" s="255"/>
      <c r="H25" s="569">
        <f t="shared" si="1"/>
        <v>0</v>
      </c>
    </row>
    <row r="26" spans="1:8" ht="19.5" customHeight="1">
      <c r="A26" s="179">
        <v>17</v>
      </c>
      <c r="B26" s="665"/>
      <c r="C26" s="255"/>
      <c r="D26" s="468">
        <f t="shared" si="0"/>
        <v>0</v>
      </c>
      <c r="E26" s="177">
        <v>48</v>
      </c>
      <c r="F26" s="668"/>
      <c r="G26" s="255"/>
      <c r="H26" s="569">
        <f t="shared" si="1"/>
        <v>0</v>
      </c>
    </row>
    <row r="27" spans="1:8" ht="19.5" customHeight="1">
      <c r="A27" s="179">
        <v>18</v>
      </c>
      <c r="B27" s="665"/>
      <c r="C27" s="255"/>
      <c r="D27" s="468">
        <f t="shared" si="0"/>
        <v>0</v>
      </c>
      <c r="E27" s="177">
        <v>49</v>
      </c>
      <c r="F27" s="668"/>
      <c r="G27" s="255"/>
      <c r="H27" s="569">
        <f t="shared" si="1"/>
        <v>0</v>
      </c>
    </row>
    <row r="28" spans="1:8" ht="19.5" customHeight="1">
      <c r="A28" s="179">
        <v>19</v>
      </c>
      <c r="B28" s="665"/>
      <c r="C28" s="255"/>
      <c r="D28" s="468">
        <f t="shared" si="0"/>
        <v>0</v>
      </c>
      <c r="E28" s="177">
        <v>50</v>
      </c>
      <c r="F28" s="668"/>
      <c r="G28" s="255"/>
      <c r="H28" s="569">
        <f t="shared" si="1"/>
        <v>0</v>
      </c>
    </row>
    <row r="29" spans="1:8" ht="19.5" customHeight="1">
      <c r="A29" s="179">
        <v>20</v>
      </c>
      <c r="B29" s="665"/>
      <c r="C29" s="255"/>
      <c r="D29" s="468">
        <f t="shared" si="0"/>
        <v>0</v>
      </c>
      <c r="E29" s="177">
        <v>51</v>
      </c>
      <c r="F29" s="668"/>
      <c r="G29" s="255"/>
      <c r="H29" s="569">
        <f t="shared" si="1"/>
        <v>0</v>
      </c>
    </row>
    <row r="30" spans="1:8" ht="19.5" customHeight="1">
      <c r="A30" s="179">
        <v>21</v>
      </c>
      <c r="B30" s="665"/>
      <c r="C30" s="255"/>
      <c r="D30" s="468">
        <f t="shared" si="0"/>
        <v>0</v>
      </c>
      <c r="E30" s="177">
        <v>52</v>
      </c>
      <c r="F30" s="668"/>
      <c r="G30" s="255"/>
      <c r="H30" s="569">
        <f t="shared" si="1"/>
        <v>0</v>
      </c>
    </row>
    <row r="31" spans="1:8" ht="19.5" customHeight="1">
      <c r="A31" s="179">
        <v>22</v>
      </c>
      <c r="B31" s="665"/>
      <c r="C31" s="255"/>
      <c r="D31" s="468">
        <f t="shared" si="0"/>
        <v>0</v>
      </c>
      <c r="E31" s="177">
        <v>53</v>
      </c>
      <c r="F31" s="668"/>
      <c r="G31" s="255"/>
      <c r="H31" s="569">
        <f t="shared" si="1"/>
        <v>0</v>
      </c>
    </row>
    <row r="32" spans="1:8" ht="19.5" customHeight="1">
      <c r="A32" s="179">
        <v>23</v>
      </c>
      <c r="B32" s="665"/>
      <c r="C32" s="255"/>
      <c r="D32" s="468">
        <f t="shared" si="0"/>
        <v>0</v>
      </c>
      <c r="E32" s="177">
        <v>54</v>
      </c>
      <c r="F32" s="668"/>
      <c r="G32" s="255"/>
      <c r="H32" s="569">
        <f t="shared" si="1"/>
        <v>0</v>
      </c>
    </row>
    <row r="33" spans="1:8" ht="19.5" customHeight="1">
      <c r="A33" s="179">
        <v>24</v>
      </c>
      <c r="B33" s="665"/>
      <c r="C33" s="255"/>
      <c r="D33" s="468">
        <f t="shared" si="0"/>
        <v>0</v>
      </c>
      <c r="E33" s="177">
        <v>55</v>
      </c>
      <c r="F33" s="668"/>
      <c r="G33" s="255"/>
      <c r="H33" s="569">
        <f t="shared" si="1"/>
        <v>0</v>
      </c>
    </row>
    <row r="34" spans="1:8" ht="19.5" customHeight="1">
      <c r="A34" s="179">
        <v>25</v>
      </c>
      <c r="B34" s="665"/>
      <c r="C34" s="255"/>
      <c r="D34" s="468">
        <f t="shared" si="0"/>
        <v>0</v>
      </c>
      <c r="E34" s="177">
        <v>56</v>
      </c>
      <c r="F34" s="668"/>
      <c r="G34" s="255"/>
      <c r="H34" s="569">
        <f t="shared" si="1"/>
        <v>0</v>
      </c>
    </row>
    <row r="35" spans="1:8" ht="19.5" customHeight="1">
      <c r="A35" s="179">
        <v>26</v>
      </c>
      <c r="B35" s="665"/>
      <c r="C35" s="255"/>
      <c r="D35" s="468">
        <f t="shared" si="0"/>
        <v>0</v>
      </c>
      <c r="E35" s="177">
        <v>57</v>
      </c>
      <c r="F35" s="668"/>
      <c r="G35" s="255"/>
      <c r="H35" s="569">
        <f t="shared" si="1"/>
        <v>0</v>
      </c>
    </row>
    <row r="36" spans="1:8" ht="19.5" customHeight="1">
      <c r="A36" s="179">
        <v>27</v>
      </c>
      <c r="B36" s="665"/>
      <c r="C36" s="255"/>
      <c r="D36" s="468">
        <f t="shared" si="0"/>
        <v>0</v>
      </c>
      <c r="E36" s="177">
        <v>58</v>
      </c>
      <c r="F36" s="668"/>
      <c r="G36" s="255"/>
      <c r="H36" s="569">
        <f t="shared" si="1"/>
        <v>0</v>
      </c>
    </row>
    <row r="37" spans="1:8" ht="19.5" customHeight="1">
      <c r="A37" s="179">
        <v>28</v>
      </c>
      <c r="B37" s="665"/>
      <c r="C37" s="255"/>
      <c r="D37" s="468">
        <f t="shared" si="0"/>
        <v>0</v>
      </c>
      <c r="E37" s="177">
        <v>59</v>
      </c>
      <c r="F37" s="668"/>
      <c r="G37" s="255"/>
      <c r="H37" s="569">
        <f t="shared" si="1"/>
        <v>0</v>
      </c>
    </row>
    <row r="38" spans="1:8" ht="19.5" customHeight="1">
      <c r="A38" s="179">
        <v>29</v>
      </c>
      <c r="B38" s="665"/>
      <c r="C38" s="255"/>
      <c r="D38" s="468">
        <f t="shared" si="0"/>
        <v>0</v>
      </c>
      <c r="E38" s="177">
        <v>60</v>
      </c>
      <c r="F38" s="668"/>
      <c r="G38" s="255"/>
      <c r="H38" s="569">
        <f t="shared" si="1"/>
        <v>0</v>
      </c>
    </row>
    <row r="39" spans="1:8" ht="19.5" customHeight="1">
      <c r="A39" s="179">
        <v>30</v>
      </c>
      <c r="B39" s="665"/>
      <c r="C39" s="255"/>
      <c r="D39" s="468">
        <f t="shared" si="0"/>
        <v>0</v>
      </c>
      <c r="E39" s="177">
        <v>61</v>
      </c>
      <c r="F39" s="668"/>
      <c r="G39" s="255"/>
      <c r="H39" s="569">
        <f t="shared" si="1"/>
        <v>0</v>
      </c>
    </row>
    <row r="40" spans="1:8" ht="19.5" customHeight="1">
      <c r="A40" s="179">
        <v>31</v>
      </c>
      <c r="B40" s="665"/>
      <c r="C40" s="255"/>
      <c r="D40" s="468">
        <f t="shared" si="0"/>
        <v>0</v>
      </c>
      <c r="E40" s="177">
        <v>62</v>
      </c>
      <c r="F40" s="668"/>
      <c r="G40" s="255"/>
      <c r="H40" s="569">
        <f t="shared" si="1"/>
        <v>0</v>
      </c>
    </row>
    <row r="41" spans="1:8" ht="19.5" customHeight="1" thickBot="1">
      <c r="A41" s="180">
        <v>32</v>
      </c>
      <c r="B41" s="666"/>
      <c r="C41" s="256"/>
      <c r="D41" s="468">
        <f t="shared" si="0"/>
        <v>0</v>
      </c>
      <c r="E41" s="177">
        <v>63</v>
      </c>
      <c r="F41" s="669"/>
      <c r="G41" s="256"/>
      <c r="H41" s="569">
        <f t="shared" si="1"/>
        <v>0</v>
      </c>
    </row>
    <row r="42" spans="1:8" ht="17.25" customHeight="1" thickBot="1">
      <c r="A42" s="178"/>
      <c r="B42" s="958" t="s">
        <v>31</v>
      </c>
      <c r="C42" s="958"/>
      <c r="D42" s="173">
        <f>SUM(D10:D41)</f>
        <v>0</v>
      </c>
      <c r="E42" s="131"/>
      <c r="F42" s="959" t="s">
        <v>375</v>
      </c>
      <c r="G42" s="960"/>
      <c r="H42" s="253">
        <f>SUM(H10:H41)</f>
        <v>0</v>
      </c>
    </row>
  </sheetData>
  <sheetProtection sheet="1"/>
  <mergeCells count="11">
    <mergeCell ref="F3:H3"/>
    <mergeCell ref="A8:A9"/>
    <mergeCell ref="E8:E9"/>
    <mergeCell ref="B8:B9"/>
    <mergeCell ref="F8:F9"/>
    <mergeCell ref="F4:H5"/>
    <mergeCell ref="B42:C42"/>
    <mergeCell ref="F42:G42"/>
    <mergeCell ref="G8:G9"/>
    <mergeCell ref="C8:C9"/>
    <mergeCell ref="F10:G10"/>
  </mergeCells>
  <printOptions/>
  <pageMargins left="0.4724409448818898" right="0" top="0.3937007874015748" bottom="0.1968503937007874" header="0.5118110236220472" footer="0.3937007874015748"/>
  <pageSetup blackAndWhite="1" horizontalDpi="600" verticalDpi="600" orientation="portrait" paperSize="9" r:id="rId2"/>
  <headerFooter alignWithMargins="0">
    <oddFooter>&amp;C&amp;8(C) Lerch Treuhand AG, Itingen</oddFooter>
  </headerFooter>
  <drawing r:id="rId1"/>
</worksheet>
</file>

<file path=xl/worksheets/sheet8.xml><?xml version="1.0" encoding="utf-8"?>
<worksheet xmlns="http://schemas.openxmlformats.org/spreadsheetml/2006/main" xmlns:r="http://schemas.openxmlformats.org/officeDocument/2006/relationships">
  <sheetPr codeName="Tabelle7" transitionEvaluation="1">
    <tabColor indexed="43"/>
  </sheetPr>
  <dimension ref="A1:N27"/>
  <sheetViews>
    <sheetView showGridLines="0" showZeros="0" zoomScale="90" zoomScaleNormal="90" zoomScalePageLayoutView="0" workbookViewId="0" topLeftCell="A1">
      <selection activeCell="E10" sqref="E10"/>
    </sheetView>
  </sheetViews>
  <sheetFormatPr defaultColWidth="11.421875" defaultRowHeight="12.75"/>
  <cols>
    <col min="1" max="1" width="2.57421875" style="0" customWidth="1"/>
    <col min="2" max="2" width="13.8515625" style="0" customWidth="1"/>
    <col min="3" max="3" width="6.7109375" style="0" customWidth="1"/>
    <col min="4" max="4" width="6.421875" style="0" customWidth="1"/>
    <col min="5" max="5" width="8.421875" style="0" customWidth="1"/>
    <col min="6" max="6" width="4.7109375" style="0" hidden="1" customWidth="1"/>
    <col min="7" max="7" width="9.7109375" style="0" customWidth="1"/>
    <col min="8" max="8" width="2.57421875" style="16" customWidth="1"/>
    <col min="9" max="9" width="13.7109375" style="0" customWidth="1"/>
    <col min="10" max="10" width="5.7109375" style="0" customWidth="1"/>
    <col min="11" max="11" width="7.28125" style="0" customWidth="1"/>
    <col min="12" max="12" width="8.421875" style="0" customWidth="1"/>
    <col min="13" max="13" width="4.7109375" style="0" hidden="1" customWidth="1"/>
    <col min="14" max="14" width="9.7109375" style="0" customWidth="1"/>
  </cols>
  <sheetData>
    <row r="1" ht="23.25">
      <c r="A1" s="790">
        <f>DECKBLATT!B14</f>
        <v>0</v>
      </c>
    </row>
    <row r="2" spans="2:14" ht="29.25" customHeight="1">
      <c r="B2" s="221"/>
      <c r="C2" s="88"/>
      <c r="D2" s="88"/>
      <c r="I2" s="965"/>
      <c r="J2" s="965"/>
      <c r="K2" s="965"/>
      <c r="L2" s="965"/>
      <c r="M2" s="965"/>
      <c r="N2" s="965"/>
    </row>
    <row r="3" ht="24" customHeight="1">
      <c r="B3" s="19"/>
    </row>
    <row r="4" spans="1:14" ht="26.25">
      <c r="A4" s="823" t="s">
        <v>442</v>
      </c>
      <c r="J4" s="957">
        <f>DECKBLATT!B11</f>
        <v>43830</v>
      </c>
      <c r="K4" s="957"/>
      <c r="L4" s="957"/>
      <c r="M4" s="957"/>
      <c r="N4" s="957"/>
    </row>
    <row r="5" spans="2:7" ht="23.25">
      <c r="B5" s="22"/>
      <c r="F5" s="90" t="s">
        <v>280</v>
      </c>
      <c r="G5" s="826" t="s">
        <v>460</v>
      </c>
    </row>
    <row r="6" spans="1:9" ht="20.25">
      <c r="A6" s="827" t="s">
        <v>543</v>
      </c>
      <c r="C6" s="827"/>
      <c r="D6" s="827"/>
      <c r="E6" s="827"/>
      <c r="F6" s="827"/>
      <c r="G6" s="14"/>
      <c r="H6" s="89"/>
      <c r="I6" s="89"/>
    </row>
    <row r="7" ht="10.5" customHeight="1">
      <c r="B7" s="10"/>
    </row>
    <row r="8" spans="1:14" ht="12.75">
      <c r="A8" s="966" t="s">
        <v>291</v>
      </c>
      <c r="B8" s="973" t="s">
        <v>29</v>
      </c>
      <c r="C8" s="970" t="s">
        <v>32</v>
      </c>
      <c r="D8" s="971"/>
      <c r="E8" s="972"/>
      <c r="F8" s="183" t="s">
        <v>341</v>
      </c>
      <c r="G8" s="961" t="s">
        <v>367</v>
      </c>
      <c r="H8" s="968" t="s">
        <v>291</v>
      </c>
      <c r="I8" s="978" t="s">
        <v>29</v>
      </c>
      <c r="J8" s="970" t="s">
        <v>32</v>
      </c>
      <c r="K8" s="971"/>
      <c r="L8" s="972"/>
      <c r="M8" s="217" t="s">
        <v>341</v>
      </c>
      <c r="N8" s="961" t="s">
        <v>367</v>
      </c>
    </row>
    <row r="9" spans="1:14" ht="33" customHeight="1">
      <c r="A9" s="967"/>
      <c r="B9" s="974"/>
      <c r="C9" s="176" t="s">
        <v>33</v>
      </c>
      <c r="D9" s="176" t="s">
        <v>34</v>
      </c>
      <c r="E9" s="176" t="s">
        <v>531</v>
      </c>
      <c r="F9" s="184" t="s">
        <v>342</v>
      </c>
      <c r="G9" s="962"/>
      <c r="H9" s="969"/>
      <c r="I9" s="979"/>
      <c r="J9" s="176" t="s">
        <v>33</v>
      </c>
      <c r="K9" s="176" t="s">
        <v>34</v>
      </c>
      <c r="L9" s="176" t="s">
        <v>531</v>
      </c>
      <c r="M9" s="185" t="s">
        <v>342</v>
      </c>
      <c r="N9" s="962"/>
    </row>
    <row r="10" spans="1:14" ht="18" customHeight="1">
      <c r="A10" s="165">
        <v>1</v>
      </c>
      <c r="B10" s="670"/>
      <c r="C10" s="671"/>
      <c r="D10" s="671"/>
      <c r="E10" s="671"/>
      <c r="F10" s="450" t="e">
        <f aca="true" t="shared" si="0" ref="F10:F25">DATE(E10,D10,C10)</f>
        <v>#NUM!</v>
      </c>
      <c r="G10" s="813">
        <f>IF(B10="falsch",0,LOOKUP(F10,'Richtzahlen RV'!$B$2:$B$84,'Richtzahlen RV'!$C$2:$C$84))</f>
        <v>0</v>
      </c>
      <c r="H10" s="451"/>
      <c r="I10" s="975" t="s">
        <v>31</v>
      </c>
      <c r="J10" s="976"/>
      <c r="K10" s="976"/>
      <c r="L10" s="977"/>
      <c r="M10" s="186"/>
      <c r="N10" s="456">
        <f>G26</f>
        <v>0</v>
      </c>
    </row>
    <row r="11" spans="1:14" ht="18" customHeight="1">
      <c r="A11" s="220">
        <v>2</v>
      </c>
      <c r="B11" s="672"/>
      <c r="C11" s="673"/>
      <c r="D11" s="673"/>
      <c r="E11" s="673"/>
      <c r="F11" s="257" t="e">
        <f t="shared" si="0"/>
        <v>#NUM!</v>
      </c>
      <c r="G11" s="455">
        <f>IF(B11="falsch",0,LOOKUP(F11,'Richtzahlen RV'!$B$2:$B$84,'Richtzahlen RV'!$C$2:$C$84))</f>
        <v>0</v>
      </c>
      <c r="H11" s="189">
        <v>17</v>
      </c>
      <c r="I11" s="670"/>
      <c r="J11" s="671"/>
      <c r="K11" s="671"/>
      <c r="L11" s="671"/>
      <c r="M11" s="259" t="e">
        <f>DATE(L11,K11,J11)</f>
        <v>#NUM!</v>
      </c>
      <c r="N11" s="455">
        <f>IF(I11="falsch",0,LOOKUP(M11,'Richtzahlen RV'!$B$2:$B$84,'Richtzahlen RV'!$C$2:$C$84))</f>
        <v>0</v>
      </c>
    </row>
    <row r="12" spans="1:14" ht="18" customHeight="1">
      <c r="A12" s="220">
        <v>3</v>
      </c>
      <c r="B12" s="672"/>
      <c r="C12" s="673"/>
      <c r="D12" s="673"/>
      <c r="E12" s="673"/>
      <c r="F12" s="257" t="e">
        <f t="shared" si="0"/>
        <v>#NUM!</v>
      </c>
      <c r="G12" s="455">
        <f>IF(B12="falsch",0,LOOKUP(F12,'Richtzahlen RV'!$B$2:$B$84,'Richtzahlen RV'!$C$2:$C$84))</f>
        <v>0</v>
      </c>
      <c r="H12" s="189">
        <v>18</v>
      </c>
      <c r="I12" s="672"/>
      <c r="J12" s="673"/>
      <c r="K12" s="673"/>
      <c r="L12" s="673"/>
      <c r="M12" s="260" t="e">
        <f aca="true" t="shared" si="1" ref="M12:M25">DATE(L12,K12,J12)</f>
        <v>#NUM!</v>
      </c>
      <c r="N12" s="455">
        <f>IF(I12="falsch",0,LOOKUP(M12,'Richtzahlen RV'!$B$2:$B$84,'Richtzahlen RV'!$C$2:$C$84))</f>
        <v>0</v>
      </c>
    </row>
    <row r="13" spans="1:14" ht="18" customHeight="1">
      <c r="A13" s="220">
        <v>4</v>
      </c>
      <c r="B13" s="672"/>
      <c r="C13" s="673"/>
      <c r="D13" s="673"/>
      <c r="E13" s="673"/>
      <c r="F13" s="257" t="e">
        <f t="shared" si="0"/>
        <v>#NUM!</v>
      </c>
      <c r="G13" s="455">
        <f>IF(B13="falsch",0,LOOKUP(F13,'Richtzahlen RV'!$B$2:$B$84,'Richtzahlen RV'!$C$2:$C$84))</f>
        <v>0</v>
      </c>
      <c r="H13" s="189">
        <v>19</v>
      </c>
      <c r="I13" s="672"/>
      <c r="J13" s="673"/>
      <c r="K13" s="673"/>
      <c r="L13" s="673"/>
      <c r="M13" s="260" t="e">
        <f t="shared" si="1"/>
        <v>#NUM!</v>
      </c>
      <c r="N13" s="455">
        <f>IF(I13="falsch",0,LOOKUP(M13,'Richtzahlen RV'!$B$2:$B$84,'Richtzahlen RV'!$C$2:$C$84))</f>
        <v>0</v>
      </c>
    </row>
    <row r="14" spans="1:14" ht="18" customHeight="1">
      <c r="A14" s="220">
        <v>5</v>
      </c>
      <c r="B14" s="672"/>
      <c r="C14" s="673"/>
      <c r="D14" s="673"/>
      <c r="E14" s="673"/>
      <c r="F14" s="257" t="e">
        <f t="shared" si="0"/>
        <v>#NUM!</v>
      </c>
      <c r="G14" s="455">
        <f>IF(B14="falsch",0,LOOKUP(F14,'Richtzahlen RV'!$B$2:$B$84,'Richtzahlen RV'!$C$2:$C$84))</f>
        <v>0</v>
      </c>
      <c r="H14" s="189">
        <v>20</v>
      </c>
      <c r="I14" s="672"/>
      <c r="J14" s="673"/>
      <c r="K14" s="673"/>
      <c r="L14" s="673"/>
      <c r="M14" s="260" t="e">
        <f t="shared" si="1"/>
        <v>#NUM!</v>
      </c>
      <c r="N14" s="455">
        <f>IF(I14="falsch",0,LOOKUP(M14,'Richtzahlen RV'!$B$2:$B$84,'Richtzahlen RV'!$C$2:$C$84))</f>
        <v>0</v>
      </c>
    </row>
    <row r="15" spans="1:14" ht="18" customHeight="1">
      <c r="A15" s="220">
        <v>6</v>
      </c>
      <c r="B15" s="672"/>
      <c r="C15" s="673"/>
      <c r="D15" s="673"/>
      <c r="E15" s="673"/>
      <c r="F15" s="257" t="e">
        <f t="shared" si="0"/>
        <v>#NUM!</v>
      </c>
      <c r="G15" s="455">
        <f>IF(B15="falsch",0,LOOKUP(F15,'Richtzahlen RV'!$B$2:$B$84,'Richtzahlen RV'!$C$2:$C$84))</f>
        <v>0</v>
      </c>
      <c r="H15" s="189">
        <v>21</v>
      </c>
      <c r="I15" s="672"/>
      <c r="J15" s="673"/>
      <c r="K15" s="673"/>
      <c r="L15" s="673"/>
      <c r="M15" s="260" t="e">
        <f t="shared" si="1"/>
        <v>#NUM!</v>
      </c>
      <c r="N15" s="455">
        <f>IF(I15="falsch",0,LOOKUP(M15,'Richtzahlen RV'!$B$2:$B$84,'Richtzahlen RV'!$C$2:$C$84))</f>
        <v>0</v>
      </c>
    </row>
    <row r="16" spans="1:14" ht="18" customHeight="1">
      <c r="A16" s="220">
        <v>7</v>
      </c>
      <c r="B16" s="672"/>
      <c r="C16" s="673"/>
      <c r="D16" s="673"/>
      <c r="E16" s="673"/>
      <c r="F16" s="257" t="e">
        <f t="shared" si="0"/>
        <v>#NUM!</v>
      </c>
      <c r="G16" s="455">
        <f>IF(B16="falsch",0,LOOKUP(F16,'Richtzahlen RV'!$B$2:$B$84,'Richtzahlen RV'!$C$2:$C$84))</f>
        <v>0</v>
      </c>
      <c r="H16" s="189">
        <v>22</v>
      </c>
      <c r="I16" s="672"/>
      <c r="J16" s="673"/>
      <c r="K16" s="673"/>
      <c r="L16" s="673"/>
      <c r="M16" s="260" t="e">
        <f t="shared" si="1"/>
        <v>#NUM!</v>
      </c>
      <c r="N16" s="455">
        <f>IF(I16="falsch",0,LOOKUP(M16,'Richtzahlen RV'!$B$2:$B$84,'Richtzahlen RV'!$C$2:$C$84))</f>
        <v>0</v>
      </c>
    </row>
    <row r="17" spans="1:14" ht="18" customHeight="1">
      <c r="A17" s="220">
        <v>8</v>
      </c>
      <c r="B17" s="672"/>
      <c r="C17" s="673"/>
      <c r="D17" s="673"/>
      <c r="E17" s="673"/>
      <c r="F17" s="257" t="e">
        <f t="shared" si="0"/>
        <v>#NUM!</v>
      </c>
      <c r="G17" s="455">
        <f>IF(B17="falsch",0,LOOKUP(F17,'Richtzahlen RV'!$B$2:$B$84,'Richtzahlen RV'!$C$2:$C$84))</f>
        <v>0</v>
      </c>
      <c r="H17" s="189">
        <v>23</v>
      </c>
      <c r="I17" s="672"/>
      <c r="J17" s="673"/>
      <c r="K17" s="673"/>
      <c r="L17" s="673"/>
      <c r="M17" s="260" t="e">
        <f t="shared" si="1"/>
        <v>#NUM!</v>
      </c>
      <c r="N17" s="455">
        <f>IF(I17="falsch",0,LOOKUP(M17,'Richtzahlen RV'!$B$2:$B$84,'Richtzahlen RV'!$C$2:$C$84))</f>
        <v>0</v>
      </c>
    </row>
    <row r="18" spans="1:14" ht="18" customHeight="1">
      <c r="A18" s="220">
        <v>9</v>
      </c>
      <c r="B18" s="672"/>
      <c r="C18" s="673"/>
      <c r="D18" s="673"/>
      <c r="E18" s="673"/>
      <c r="F18" s="257" t="e">
        <f t="shared" si="0"/>
        <v>#NUM!</v>
      </c>
      <c r="G18" s="455">
        <f>IF(B18="falsch",0,LOOKUP(F18,'Richtzahlen RV'!$B$2:$B$84,'Richtzahlen RV'!$C$2:$C$84))</f>
        <v>0</v>
      </c>
      <c r="H18" s="189">
        <v>24</v>
      </c>
      <c r="I18" s="672"/>
      <c r="J18" s="673"/>
      <c r="K18" s="673"/>
      <c r="L18" s="673"/>
      <c r="M18" s="260" t="e">
        <f t="shared" si="1"/>
        <v>#NUM!</v>
      </c>
      <c r="N18" s="455">
        <f>IF(I18="falsch",0,LOOKUP(M18,'Richtzahlen RV'!$B$2:$B$84,'Richtzahlen RV'!$C$2:$C$84))</f>
        <v>0</v>
      </c>
    </row>
    <row r="19" spans="1:14" ht="18" customHeight="1">
      <c r="A19" s="220">
        <v>10</v>
      </c>
      <c r="B19" s="672"/>
      <c r="C19" s="673"/>
      <c r="D19" s="673"/>
      <c r="E19" s="673"/>
      <c r="F19" s="257" t="e">
        <f t="shared" si="0"/>
        <v>#NUM!</v>
      </c>
      <c r="G19" s="455">
        <f>IF(B19="falsch",0,LOOKUP(F19,'Richtzahlen RV'!$B$2:$B$84,'Richtzahlen RV'!$C$2:$C$84))</f>
        <v>0</v>
      </c>
      <c r="H19" s="189">
        <v>25</v>
      </c>
      <c r="I19" s="672"/>
      <c r="J19" s="673"/>
      <c r="K19" s="673"/>
      <c r="L19" s="673"/>
      <c r="M19" s="260" t="e">
        <f t="shared" si="1"/>
        <v>#NUM!</v>
      </c>
      <c r="N19" s="455">
        <f>IF(I19="falsch",0,LOOKUP(M19,'Richtzahlen RV'!$B$2:$B$84,'Richtzahlen RV'!$C$2:$C$84))</f>
        <v>0</v>
      </c>
    </row>
    <row r="20" spans="1:14" ht="18" customHeight="1">
      <c r="A20" s="220">
        <v>11</v>
      </c>
      <c r="B20" s="672"/>
      <c r="C20" s="673"/>
      <c r="D20" s="673"/>
      <c r="E20" s="673"/>
      <c r="F20" s="257" t="e">
        <f t="shared" si="0"/>
        <v>#NUM!</v>
      </c>
      <c r="G20" s="455">
        <f>IF(B20="falsch",0,LOOKUP(F20,'Richtzahlen RV'!$B$2:$B$84,'Richtzahlen RV'!$C$2:$C$84))</f>
        <v>0</v>
      </c>
      <c r="H20" s="189">
        <v>26</v>
      </c>
      <c r="I20" s="672"/>
      <c r="J20" s="673"/>
      <c r="K20" s="673"/>
      <c r="L20" s="673"/>
      <c r="M20" s="260" t="e">
        <f t="shared" si="1"/>
        <v>#NUM!</v>
      </c>
      <c r="N20" s="455">
        <f>IF(I20="falsch",0,LOOKUP(M20,'Richtzahlen RV'!$B$2:$B$84,'Richtzahlen RV'!$C$2:$C$84))</f>
        <v>0</v>
      </c>
    </row>
    <row r="21" spans="1:14" ht="18" customHeight="1">
      <c r="A21" s="220">
        <v>12</v>
      </c>
      <c r="B21" s="672"/>
      <c r="C21" s="673"/>
      <c r="D21" s="673"/>
      <c r="E21" s="673"/>
      <c r="F21" s="257" t="e">
        <f t="shared" si="0"/>
        <v>#NUM!</v>
      </c>
      <c r="G21" s="455">
        <f>IF(B21="falsch",0,LOOKUP(F21,'Richtzahlen RV'!$B$2:$B$84,'Richtzahlen RV'!$C$2:$C$84))</f>
        <v>0</v>
      </c>
      <c r="H21" s="189">
        <v>27</v>
      </c>
      <c r="I21" s="672"/>
      <c r="J21" s="673"/>
      <c r="K21" s="673"/>
      <c r="L21" s="673"/>
      <c r="M21" s="260" t="e">
        <f t="shared" si="1"/>
        <v>#NUM!</v>
      </c>
      <c r="N21" s="455">
        <f>IF(I21="falsch",0,LOOKUP(M21,'Richtzahlen RV'!$B$2:$B$84,'Richtzahlen RV'!$C$2:$C$84))</f>
        <v>0</v>
      </c>
    </row>
    <row r="22" spans="1:14" ht="18" customHeight="1">
      <c r="A22" s="220">
        <v>13</v>
      </c>
      <c r="B22" s="672"/>
      <c r="C22" s="673"/>
      <c r="D22" s="673"/>
      <c r="E22" s="673"/>
      <c r="F22" s="257" t="e">
        <f t="shared" si="0"/>
        <v>#NUM!</v>
      </c>
      <c r="G22" s="455">
        <f>IF(B22="falsch",0,LOOKUP(F22,'Richtzahlen RV'!$B$2:$B$84,'Richtzahlen RV'!$C$2:$C$84))</f>
        <v>0</v>
      </c>
      <c r="H22" s="189">
        <v>28</v>
      </c>
      <c r="I22" s="672"/>
      <c r="J22" s="673"/>
      <c r="K22" s="673"/>
      <c r="L22" s="673"/>
      <c r="M22" s="260" t="e">
        <f t="shared" si="1"/>
        <v>#NUM!</v>
      </c>
      <c r="N22" s="455">
        <f>IF(I22="falsch",0,LOOKUP(M22,'Richtzahlen RV'!$B$2:$B$84,'Richtzahlen RV'!$C$2:$C$84))</f>
        <v>0</v>
      </c>
    </row>
    <row r="23" spans="1:14" ht="18" customHeight="1">
      <c r="A23" s="220">
        <v>14</v>
      </c>
      <c r="B23" s="672"/>
      <c r="C23" s="673"/>
      <c r="D23" s="673"/>
      <c r="E23" s="673"/>
      <c r="F23" s="257" t="e">
        <f t="shared" si="0"/>
        <v>#NUM!</v>
      </c>
      <c r="G23" s="455">
        <f>IF(B23="falsch",0,LOOKUP(F23,'Richtzahlen RV'!$B$2:$B$84,'Richtzahlen RV'!$C$2:$C$84))</f>
        <v>0</v>
      </c>
      <c r="H23" s="189">
        <v>29</v>
      </c>
      <c r="I23" s="672"/>
      <c r="J23" s="673"/>
      <c r="K23" s="673"/>
      <c r="L23" s="673"/>
      <c r="M23" s="260" t="e">
        <f t="shared" si="1"/>
        <v>#NUM!</v>
      </c>
      <c r="N23" s="455">
        <f>IF(I23="falsch",0,LOOKUP(M23,'Richtzahlen RV'!$B$2:$B$84,'Richtzahlen RV'!$C$2:$C$84))</f>
        <v>0</v>
      </c>
    </row>
    <row r="24" spans="1:14" ht="18" customHeight="1">
      <c r="A24" s="220">
        <v>15</v>
      </c>
      <c r="B24" s="672"/>
      <c r="C24" s="673"/>
      <c r="D24" s="673"/>
      <c r="E24" s="673"/>
      <c r="F24" s="257" t="e">
        <f t="shared" si="0"/>
        <v>#NUM!</v>
      </c>
      <c r="G24" s="455">
        <f>IF(B24="falsch",0,LOOKUP(F24,'Richtzahlen RV'!$B$2:$B$84,'Richtzahlen RV'!$C$2:$C$84))</f>
        <v>0</v>
      </c>
      <c r="H24" s="189">
        <v>30</v>
      </c>
      <c r="I24" s="672"/>
      <c r="J24" s="673"/>
      <c r="K24" s="673"/>
      <c r="L24" s="673"/>
      <c r="M24" s="260" t="e">
        <f t="shared" si="1"/>
        <v>#NUM!</v>
      </c>
      <c r="N24" s="455">
        <f>IF(I24="falsch",0,LOOKUP(M24,'Richtzahlen RV'!$B$2:$B$84,'Richtzahlen RV'!$C$2:$C$84))</f>
        <v>0</v>
      </c>
    </row>
    <row r="25" spans="1:14" ht="18" customHeight="1" thickBot="1">
      <c r="A25" s="166">
        <v>16</v>
      </c>
      <c r="B25" s="672"/>
      <c r="C25" s="673"/>
      <c r="D25" s="673"/>
      <c r="E25" s="673"/>
      <c r="F25" s="258" t="e">
        <f t="shared" si="0"/>
        <v>#NUM!</v>
      </c>
      <c r="G25" s="455">
        <f>IF(B25="falsch",0,LOOKUP(F25,'Richtzahlen RV'!$B$2:$B$84,'Richtzahlen RV'!$C$2:$C$84))</f>
        <v>0</v>
      </c>
      <c r="H25" s="164">
        <v>31</v>
      </c>
      <c r="I25" s="672"/>
      <c r="J25" s="673"/>
      <c r="K25" s="673"/>
      <c r="L25" s="673"/>
      <c r="M25" s="261" t="e">
        <f t="shared" si="1"/>
        <v>#NUM!</v>
      </c>
      <c r="N25" s="455">
        <f>IF(I25="falsch",0,LOOKUP(M25,'Richtzahlen RV'!$B$2:$B$84,'Richtzahlen RV'!$C$2:$C$84))</f>
        <v>0</v>
      </c>
    </row>
    <row r="26" spans="1:14" ht="18" customHeight="1" thickBot="1">
      <c r="A26" s="222"/>
      <c r="B26" s="958" t="s">
        <v>31</v>
      </c>
      <c r="C26" s="958"/>
      <c r="D26" s="958"/>
      <c r="E26" s="964"/>
      <c r="F26" s="187"/>
      <c r="G26" s="456">
        <f>SUM(G10:G25)</f>
        <v>0</v>
      </c>
      <c r="H26" s="223"/>
      <c r="I26" s="167" t="s">
        <v>38</v>
      </c>
      <c r="J26" s="980" t="s">
        <v>20</v>
      </c>
      <c r="K26" s="980"/>
      <c r="L26" s="981"/>
      <c r="M26" s="144"/>
      <c r="N26" s="253">
        <f>SUM(N10:N25)</f>
        <v>0</v>
      </c>
    </row>
    <row r="27" ht="10.5" customHeight="1">
      <c r="B27" s="6"/>
    </row>
  </sheetData>
  <sheetProtection sheet="1"/>
  <mergeCells count="13">
    <mergeCell ref="I2:N2"/>
    <mergeCell ref="B26:E26"/>
    <mergeCell ref="B8:B9"/>
    <mergeCell ref="I10:L10"/>
    <mergeCell ref="G8:G9"/>
    <mergeCell ref="I8:I9"/>
    <mergeCell ref="J26:L26"/>
    <mergeCell ref="A8:A9"/>
    <mergeCell ref="H8:H9"/>
    <mergeCell ref="C8:E8"/>
    <mergeCell ref="J4:N4"/>
    <mergeCell ref="N8:N9"/>
    <mergeCell ref="J8:L8"/>
  </mergeCells>
  <printOptions/>
  <pageMargins left="0.6692913385826772" right="0.03937007874015748" top="0.3937007874015748" bottom="0.1968503937007874" header="0.4330708661417323" footer="0.1968503937007874"/>
  <pageSetup blackAndWhite="1" horizontalDpi="600" verticalDpi="600" orientation="portrait" paperSize="9" r:id="rId2"/>
  <headerFooter alignWithMargins="0">
    <oddFooter>&amp;C&amp;8(C) Lerch Treuhand AG, Itingen</oddFooter>
  </headerFooter>
  <drawing r:id="rId1"/>
</worksheet>
</file>

<file path=xl/worksheets/sheet9.xml><?xml version="1.0" encoding="utf-8"?>
<worksheet xmlns="http://schemas.openxmlformats.org/spreadsheetml/2006/main" xmlns:r="http://schemas.openxmlformats.org/officeDocument/2006/relationships">
  <sheetPr codeName="Tabelle20" transitionEvaluation="1">
    <tabColor indexed="43"/>
    <pageSetUpPr fitToPage="1"/>
  </sheetPr>
  <dimension ref="A1:H36"/>
  <sheetViews>
    <sheetView showGridLines="0" showZeros="0" zoomScale="90" zoomScaleNormal="90" zoomScalePageLayoutView="0" workbookViewId="0" topLeftCell="A1">
      <selection activeCell="B3" sqref="B3"/>
    </sheetView>
  </sheetViews>
  <sheetFormatPr defaultColWidth="11.421875" defaultRowHeight="12.75"/>
  <cols>
    <col min="1" max="1" width="2.57421875" style="0" customWidth="1"/>
    <col min="2" max="2" width="29.28125" style="0" customWidth="1"/>
    <col min="3" max="3" width="12.8515625" style="0" customWidth="1"/>
    <col min="4" max="4" width="6.00390625" style="0" customWidth="1"/>
    <col min="5" max="5" width="13.421875" style="0" customWidth="1"/>
    <col min="6" max="6" width="18.421875" style="0" customWidth="1"/>
    <col min="7" max="7" width="22.57421875" style="0" customWidth="1"/>
  </cols>
  <sheetData>
    <row r="1" ht="23.25">
      <c r="A1" s="790">
        <f>DECKBLATT!B14</f>
        <v>0</v>
      </c>
    </row>
    <row r="2" spans="2:7" ht="36" customHeight="1">
      <c r="B2" s="221"/>
      <c r="C2" s="88"/>
      <c r="F2" s="965"/>
      <c r="G2" s="965"/>
    </row>
    <row r="3" ht="24" customHeight="1">
      <c r="B3" s="19"/>
    </row>
    <row r="4" spans="1:7" ht="26.25">
      <c r="A4" s="823" t="s">
        <v>442</v>
      </c>
      <c r="F4" s="957">
        <f>DECKBLATT!B11</f>
        <v>43830</v>
      </c>
      <c r="G4" s="957"/>
    </row>
    <row r="5" spans="2:5" ht="23.25">
      <c r="B5" s="22"/>
      <c r="E5" s="826" t="s">
        <v>460</v>
      </c>
    </row>
    <row r="6" ht="10.5" customHeight="1">
      <c r="B6" s="6"/>
    </row>
    <row r="7" ht="20.25">
      <c r="B7" s="556" t="s">
        <v>517</v>
      </c>
    </row>
    <row r="8" ht="8.25" customHeight="1" thickBot="1">
      <c r="B8" s="23"/>
    </row>
    <row r="9" spans="2:7" ht="13.5" customHeight="1">
      <c r="B9" s="919" t="s">
        <v>35</v>
      </c>
      <c r="C9" s="887" t="s">
        <v>36</v>
      </c>
      <c r="D9" s="919" t="s">
        <v>526</v>
      </c>
      <c r="E9" s="921"/>
      <c r="F9" s="887" t="s">
        <v>527</v>
      </c>
      <c r="G9" s="921" t="s">
        <v>367</v>
      </c>
    </row>
    <row r="10" spans="2:7" ht="21.75" customHeight="1" thickBot="1">
      <c r="B10" s="922"/>
      <c r="C10" s="888"/>
      <c r="D10" s="922" t="s">
        <v>532</v>
      </c>
      <c r="E10" s="924"/>
      <c r="F10" s="888"/>
      <c r="G10" s="924"/>
    </row>
    <row r="11" spans="2:8" ht="18" customHeight="1">
      <c r="B11" s="872"/>
      <c r="C11" s="873"/>
      <c r="D11" s="874" t="s">
        <v>24</v>
      </c>
      <c r="E11" s="875"/>
      <c r="F11" s="876">
        <f>IF(B11="falsch",0,LOOKUP(E11,Richtpreise!$E$4:$E$60,Richtpreise!$F$4:$F$60))</f>
        <v>0</v>
      </c>
      <c r="G11" s="868">
        <f>C11*F11</f>
        <v>0</v>
      </c>
      <c r="H11" s="851"/>
    </row>
    <row r="12" spans="2:7" ht="18" customHeight="1">
      <c r="B12" s="844"/>
      <c r="C12" s="846"/>
      <c r="D12" s="843" t="s">
        <v>24</v>
      </c>
      <c r="E12" s="849"/>
      <c r="F12" s="871">
        <f>IF(B12="falsch",0,LOOKUP(E12,Richtpreise!$E$4:$E$60,Richtpreise!$F$4:$F$60))</f>
        <v>0</v>
      </c>
      <c r="G12" s="868">
        <f aca="true" t="shared" si="0" ref="G12:G35">C12*F12</f>
        <v>0</v>
      </c>
    </row>
    <row r="13" spans="2:7" ht="18" customHeight="1">
      <c r="B13" s="844"/>
      <c r="C13" s="846"/>
      <c r="D13" s="843" t="s">
        <v>24</v>
      </c>
      <c r="E13" s="849"/>
      <c r="F13" s="871">
        <f>IF(B13="falsch",0,LOOKUP(E13,Richtpreise!$E$4:$E$60,Richtpreise!$F$4:$F$60))</f>
        <v>0</v>
      </c>
      <c r="G13" s="868">
        <f t="shared" si="0"/>
        <v>0</v>
      </c>
    </row>
    <row r="14" spans="2:7" ht="18" customHeight="1">
      <c r="B14" s="844"/>
      <c r="C14" s="846"/>
      <c r="D14" s="843" t="s">
        <v>24</v>
      </c>
      <c r="E14" s="849"/>
      <c r="F14" s="871">
        <f>IF(B14="falsch",0,LOOKUP(E14,Richtpreise!$E$4:$E$60,Richtpreise!$F$4:$F$60))</f>
        <v>0</v>
      </c>
      <c r="G14" s="868">
        <f t="shared" si="0"/>
        <v>0</v>
      </c>
    </row>
    <row r="15" spans="2:7" ht="18" customHeight="1">
      <c r="B15" s="844"/>
      <c r="C15" s="846"/>
      <c r="D15" s="843" t="s">
        <v>24</v>
      </c>
      <c r="E15" s="849"/>
      <c r="F15" s="871">
        <f>IF(B15="falsch",0,LOOKUP(E15,Richtpreise!$E$4:$E$60,Richtpreise!$F$4:$F$60))</f>
        <v>0</v>
      </c>
      <c r="G15" s="868">
        <f t="shared" si="0"/>
        <v>0</v>
      </c>
    </row>
    <row r="16" spans="2:7" ht="18" customHeight="1">
      <c r="B16" s="844"/>
      <c r="C16" s="846"/>
      <c r="D16" s="843" t="s">
        <v>24</v>
      </c>
      <c r="E16" s="849"/>
      <c r="F16" s="871">
        <f>IF(B16="falsch",0,LOOKUP(E16,Richtpreise!$E$4:$E$60,Richtpreise!$F$4:$F$60))</f>
        <v>0</v>
      </c>
      <c r="G16" s="868">
        <f t="shared" si="0"/>
        <v>0</v>
      </c>
    </row>
    <row r="17" spans="2:7" ht="18" customHeight="1">
      <c r="B17" s="844"/>
      <c r="C17" s="846"/>
      <c r="D17" s="843" t="s">
        <v>24</v>
      </c>
      <c r="E17" s="849"/>
      <c r="F17" s="871">
        <f>IF(B17="falsch",0,LOOKUP(E17,Richtpreise!$E$4:$E$60,Richtpreise!$F$4:$F$60))</f>
        <v>0</v>
      </c>
      <c r="G17" s="868">
        <f t="shared" si="0"/>
        <v>0</v>
      </c>
    </row>
    <row r="18" spans="2:7" ht="18" customHeight="1">
      <c r="B18" s="844"/>
      <c r="C18" s="846"/>
      <c r="D18" s="843" t="s">
        <v>24</v>
      </c>
      <c r="E18" s="849"/>
      <c r="F18" s="871">
        <f>IF(B18="falsch",0,LOOKUP(E18,Richtpreise!$E$4:$E$60,Richtpreise!$F$4:$F$60))</f>
        <v>0</v>
      </c>
      <c r="G18" s="868">
        <f t="shared" si="0"/>
        <v>0</v>
      </c>
    </row>
    <row r="19" spans="2:7" ht="18" customHeight="1">
      <c r="B19" s="844"/>
      <c r="C19" s="846"/>
      <c r="D19" s="843" t="s">
        <v>24</v>
      </c>
      <c r="E19" s="849"/>
      <c r="F19" s="871">
        <f>IF(B19="falsch",0,LOOKUP(E19,Richtpreise!$E$4:$E$60,Richtpreise!$F$4:$F$60))</f>
        <v>0</v>
      </c>
      <c r="G19" s="868">
        <f t="shared" si="0"/>
        <v>0</v>
      </c>
    </row>
    <row r="20" spans="2:7" ht="18" customHeight="1">
      <c r="B20" s="844"/>
      <c r="C20" s="846"/>
      <c r="D20" s="843" t="s">
        <v>24</v>
      </c>
      <c r="E20" s="849"/>
      <c r="F20" s="871">
        <f>IF(B20="falsch",0,LOOKUP(E20,Richtpreise!$E$4:$E$60,Richtpreise!$F$4:$F$60))</f>
        <v>0</v>
      </c>
      <c r="G20" s="868">
        <f t="shared" si="0"/>
        <v>0</v>
      </c>
    </row>
    <row r="21" spans="2:7" ht="18" customHeight="1">
      <c r="B21" s="844"/>
      <c r="C21" s="846"/>
      <c r="D21" s="843" t="s">
        <v>24</v>
      </c>
      <c r="E21" s="849"/>
      <c r="F21" s="871">
        <f>IF(B21="falsch",0,LOOKUP(E21,Richtpreise!$E$4:$E$60,Richtpreise!$F$4:$F$60))</f>
        <v>0</v>
      </c>
      <c r="G21" s="868">
        <f t="shared" si="0"/>
        <v>0</v>
      </c>
    </row>
    <row r="22" spans="2:7" ht="18" customHeight="1">
      <c r="B22" s="844"/>
      <c r="C22" s="846"/>
      <c r="D22" s="843" t="s">
        <v>24</v>
      </c>
      <c r="E22" s="849"/>
      <c r="F22" s="871">
        <f>IF(B22="falsch",0,LOOKUP(E22,Richtpreise!$E$4:$E$60,Richtpreise!$F$4:$F$60))</f>
        <v>0</v>
      </c>
      <c r="G22" s="868">
        <f t="shared" si="0"/>
        <v>0</v>
      </c>
    </row>
    <row r="23" spans="2:7" ht="18" customHeight="1">
      <c r="B23" s="844"/>
      <c r="C23" s="846"/>
      <c r="D23" s="843" t="s">
        <v>24</v>
      </c>
      <c r="E23" s="849"/>
      <c r="F23" s="871">
        <f>IF(B23="falsch",0,LOOKUP(E23,Richtpreise!$E$4:$E$60,Richtpreise!$F$4:$F$60))</f>
        <v>0</v>
      </c>
      <c r="G23" s="868">
        <f t="shared" si="0"/>
        <v>0</v>
      </c>
    </row>
    <row r="24" spans="2:7" ht="18" customHeight="1">
      <c r="B24" s="844"/>
      <c r="C24" s="846"/>
      <c r="D24" s="843" t="s">
        <v>24</v>
      </c>
      <c r="E24" s="849"/>
      <c r="F24" s="871">
        <f>IF(B24="falsch",0,LOOKUP(E24,Richtpreise!$E$4:$E$60,Richtpreise!$F$4:$F$60))</f>
        <v>0</v>
      </c>
      <c r="G24" s="868">
        <f t="shared" si="0"/>
        <v>0</v>
      </c>
    </row>
    <row r="25" spans="2:7" ht="18" customHeight="1">
      <c r="B25" s="844"/>
      <c r="C25" s="846"/>
      <c r="D25" s="843" t="s">
        <v>24</v>
      </c>
      <c r="E25" s="849"/>
      <c r="F25" s="871">
        <f>IF(B25="falsch",0,LOOKUP(E25,Richtpreise!$E$4:$E$60,Richtpreise!$F$4:$F$60))</f>
        <v>0</v>
      </c>
      <c r="G25" s="868">
        <f t="shared" si="0"/>
        <v>0</v>
      </c>
    </row>
    <row r="26" spans="2:7" ht="18" customHeight="1">
      <c r="B26" s="844"/>
      <c r="C26" s="846"/>
      <c r="D26" s="843" t="s">
        <v>24</v>
      </c>
      <c r="E26" s="849"/>
      <c r="F26" s="871">
        <f>IF(B26="falsch",0,LOOKUP(E26,Richtpreise!$E$4:$E$60,Richtpreise!$F$4:$F$60))</f>
        <v>0</v>
      </c>
      <c r="G26" s="868">
        <f t="shared" si="0"/>
        <v>0</v>
      </c>
    </row>
    <row r="27" spans="2:7" ht="18" customHeight="1">
      <c r="B27" s="844"/>
      <c r="C27" s="846"/>
      <c r="D27" s="843" t="s">
        <v>24</v>
      </c>
      <c r="E27" s="849"/>
      <c r="F27" s="871">
        <f>IF(B27="falsch",0,LOOKUP(E27,Richtpreise!$E$4:$E$60,Richtpreise!$F$4:$F$60))</f>
        <v>0</v>
      </c>
      <c r="G27" s="868">
        <f t="shared" si="0"/>
        <v>0</v>
      </c>
    </row>
    <row r="28" spans="2:7" ht="18" customHeight="1">
      <c r="B28" s="844"/>
      <c r="C28" s="846"/>
      <c r="D28" s="843" t="s">
        <v>24</v>
      </c>
      <c r="E28" s="849"/>
      <c r="F28" s="871">
        <f>IF(B28="falsch",0,LOOKUP(E28,Richtpreise!$E$4:$E$60,Richtpreise!$F$4:$F$60))</f>
        <v>0</v>
      </c>
      <c r="G28" s="868">
        <f t="shared" si="0"/>
        <v>0</v>
      </c>
    </row>
    <row r="29" spans="2:7" ht="18" customHeight="1">
      <c r="B29" s="844"/>
      <c r="C29" s="846"/>
      <c r="D29" s="843" t="s">
        <v>24</v>
      </c>
      <c r="E29" s="849"/>
      <c r="F29" s="871">
        <f>IF(B29="falsch",0,LOOKUP(E29,Richtpreise!$E$4:$E$60,Richtpreise!$F$4:$F$60))</f>
        <v>0</v>
      </c>
      <c r="G29" s="868">
        <f t="shared" si="0"/>
        <v>0</v>
      </c>
    </row>
    <row r="30" spans="2:7" ht="18" customHeight="1">
      <c r="B30" s="844"/>
      <c r="C30" s="846"/>
      <c r="D30" s="843" t="s">
        <v>24</v>
      </c>
      <c r="E30" s="849"/>
      <c r="F30" s="871">
        <f>IF(B30="falsch",0,LOOKUP(E30,Richtpreise!$E$4:$E$60,Richtpreise!$F$4:$F$60))</f>
        <v>0</v>
      </c>
      <c r="G30" s="868">
        <f t="shared" si="0"/>
        <v>0</v>
      </c>
    </row>
    <row r="31" spans="2:7" ht="18" customHeight="1">
      <c r="B31" s="844"/>
      <c r="C31" s="846"/>
      <c r="D31" s="843" t="s">
        <v>24</v>
      </c>
      <c r="E31" s="849"/>
      <c r="F31" s="871">
        <f>IF(B31="falsch",0,LOOKUP(E31,Richtpreise!$E$4:$E$60,Richtpreise!$F$4:$F$60))</f>
        <v>0</v>
      </c>
      <c r="G31" s="868">
        <f t="shared" si="0"/>
        <v>0</v>
      </c>
    </row>
    <row r="32" spans="2:7" ht="18" customHeight="1">
      <c r="B32" s="844"/>
      <c r="C32" s="846"/>
      <c r="D32" s="843" t="s">
        <v>24</v>
      </c>
      <c r="E32" s="849"/>
      <c r="F32" s="871">
        <f>IF(B32="falsch",0,LOOKUP(E32,Richtpreise!$E$4:$E$60,Richtpreise!$F$4:$F$60))</f>
        <v>0</v>
      </c>
      <c r="G32" s="868">
        <f t="shared" si="0"/>
        <v>0</v>
      </c>
    </row>
    <row r="33" spans="2:7" ht="18" customHeight="1">
      <c r="B33" s="844"/>
      <c r="C33" s="846"/>
      <c r="D33" s="843" t="s">
        <v>24</v>
      </c>
      <c r="E33" s="849"/>
      <c r="F33" s="871">
        <f>IF(B33="falsch",0,LOOKUP(E33,Richtpreise!$E$4:$E$60,Richtpreise!$F$4:$F$60))</f>
        <v>0</v>
      </c>
      <c r="G33" s="868">
        <f t="shared" si="0"/>
        <v>0</v>
      </c>
    </row>
    <row r="34" spans="2:7" ht="18" customHeight="1">
      <c r="B34" s="844"/>
      <c r="C34" s="846"/>
      <c r="D34" s="843" t="s">
        <v>24</v>
      </c>
      <c r="E34" s="849"/>
      <c r="F34" s="871">
        <f>IF(B34="falsch",0,LOOKUP(E34,Richtpreise!$E$4:$E$60,Richtpreise!$F$4:$F$60))</f>
        <v>0</v>
      </c>
      <c r="G34" s="868">
        <f t="shared" si="0"/>
        <v>0</v>
      </c>
    </row>
    <row r="35" spans="2:7" ht="18" customHeight="1" thickBot="1">
      <c r="B35" s="844"/>
      <c r="C35" s="847"/>
      <c r="D35" s="843" t="s">
        <v>24</v>
      </c>
      <c r="E35" s="850"/>
      <c r="F35" s="871">
        <f>IF(B35="falsch",0,LOOKUP(E35,Richtpreise!$E$4:$E$60,Richtpreise!$F$4:$F$60))</f>
        <v>0</v>
      </c>
      <c r="G35" s="868">
        <f t="shared" si="0"/>
        <v>0</v>
      </c>
    </row>
    <row r="36" spans="2:7" ht="25.5" customHeight="1" thickBot="1">
      <c r="B36" s="819" t="s">
        <v>37</v>
      </c>
      <c r="C36" s="845">
        <f>SUM(C11:C35)</f>
        <v>0</v>
      </c>
      <c r="D36" s="820"/>
      <c r="E36" s="848"/>
      <c r="F36" s="870" t="s">
        <v>23</v>
      </c>
      <c r="G36" s="869">
        <f>SUM(G11:G35)</f>
        <v>0</v>
      </c>
    </row>
  </sheetData>
  <sheetProtection sheet="1"/>
  <mergeCells count="8">
    <mergeCell ref="F2:G2"/>
    <mergeCell ref="F9:F10"/>
    <mergeCell ref="D9:E9"/>
    <mergeCell ref="F4:G4"/>
    <mergeCell ref="G9:G10"/>
    <mergeCell ref="B9:B10"/>
    <mergeCell ref="C9:C10"/>
    <mergeCell ref="D10:E10"/>
  </mergeCells>
  <printOptions/>
  <pageMargins left="0.6692913385826772" right="0.2362204724409449" top="0.3937007874015748" bottom="0.1968503937007874" header="0.4330708661417323" footer="0.1968503937007874"/>
  <pageSetup blackAndWhite="1" fitToHeight="1" fitToWidth="1" horizontalDpi="600" verticalDpi="600" orientation="portrait" paperSize="9" scale="74" r:id="rId2"/>
  <headerFooter alignWithMargins="0">
    <oddFooter>&amp;C&amp;8(C) Lerch Treuhand AG, Itingen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Lerch Treuhand AG, Itingen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duser</dc:creator>
  <cp:keywords/>
  <dc:description/>
  <cp:lastModifiedBy>Christoph Ulrich</cp:lastModifiedBy>
  <cp:lastPrinted>2019-11-11T15:00:12Z</cp:lastPrinted>
  <dcterms:created xsi:type="dcterms:W3CDTF">2004-10-15T11:51:11Z</dcterms:created>
  <dcterms:modified xsi:type="dcterms:W3CDTF">2019-12-11T06:50:45Z</dcterms:modified>
  <cp:category/>
  <cp:version/>
  <cp:contentType/>
  <cp:contentStatus/>
</cp:coreProperties>
</file>